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Objects="none" autoCompressPictures="0"/>
  <mc:AlternateContent xmlns:mc="http://schemas.openxmlformats.org/markup-compatibility/2006">
    <mc:Choice Requires="x15">
      <x15ac:absPath xmlns:x15ac="http://schemas.microsoft.com/office/spreadsheetml/2010/11/ac" url="https://people.ey.com/personal/ioanna_kelepouri_gr_ey_com/Documents/Desktop/New folder/Eurobank Training/2023 Presentations/Advanced/Ενότητα 1/"/>
    </mc:Choice>
  </mc:AlternateContent>
  <xr:revisionPtr revIDLastSave="0" documentId="8_{571D6F5E-10D7-48C5-A3F4-F3B6D84AA202}" xr6:coauthVersionLast="47" xr6:coauthVersionMax="47" xr10:uidLastSave="{00000000-0000-0000-0000-000000000000}"/>
  <bookViews>
    <workbookView xWindow="-108" yWindow="-108" windowWidth="23256" windowHeight="12576" tabRatio="788" activeTab="4" xr2:uid="{00000000-000D-0000-FFFF-FFFF00000000}"/>
  </bookViews>
  <sheets>
    <sheet name="Summary 3yr P&amp;L" sheetId="1" r:id="rId1"/>
    <sheet name="Κόστος Πωληθέντων (CoGS)" sheetId="3" r:id="rId2"/>
    <sheet name="Επισκέψεις, Παραγγελίες, Τζίρος" sheetId="2" r:id="rId3"/>
    <sheet name="Προσωπικό" sheetId="4" r:id="rId4"/>
    <sheet name="Εξ. Συνεργάτες" sheetId="7" r:id="rId5"/>
    <sheet name="Marketing" sheetId="5" r:id="rId6"/>
    <sheet name="Αποστολές" sheetId="6" r:id="rId7"/>
    <sheet name="Ενοίκιο" sheetId="8" r:id="rId8"/>
    <sheet name="Μετακινήσεις" sheetId="10" r:id="rId9"/>
    <sheet name="Λογαριασμοί" sheetId="9" r:id="rId10"/>
    <sheet name="Αποσβέσεις" sheetId="11" r:id="rId11"/>
  </sheets>
  <definedNames/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8" i="6" l="1"/>
  <c r="B12" i="6" s="1"/>
  <c r="L27" i="6"/>
  <c r="B11" i="6" s="1"/>
  <c r="B8" i="6"/>
  <c r="O28" i="6"/>
  <c r="A29" i="4"/>
  <c r="F17" i="2"/>
  <c r="D17" i="2"/>
  <c r="C23" i="4"/>
  <c r="B23" i="4"/>
  <c r="C11" i="7"/>
  <c r="C6" i="7"/>
  <c r="G5" i="3"/>
  <c r="E5" i="3"/>
  <c r="D24" i="5"/>
  <c r="C24" i="5"/>
  <c r="D23" i="5"/>
  <c r="C23" i="5"/>
  <c r="D21" i="5"/>
  <c r="C21" i="5"/>
  <c r="D20" i="5"/>
  <c r="C20" i="5"/>
  <c r="D19" i="5"/>
  <c r="C19" i="5"/>
  <c r="C7" i="5"/>
  <c r="D7" i="5"/>
  <c r="D6" i="5"/>
  <c r="C6" i="5"/>
  <c r="B13" i="5"/>
  <c r="D10" i="5"/>
  <c r="C10" i="5"/>
  <c r="B10" i="5"/>
  <c r="B7" i="5"/>
  <c r="B6" i="5"/>
  <c r="B17" i="2"/>
  <c r="D9" i="7"/>
  <c r="E9" i="7"/>
  <c r="C9" i="7"/>
  <c r="D8" i="7"/>
  <c r="E8" i="7"/>
  <c r="C8" i="7"/>
  <c r="E21" i="7"/>
  <c r="D21" i="7"/>
  <c r="C21" i="7"/>
  <c r="B12" i="9"/>
  <c r="E10" i="9"/>
  <c r="D10" i="9"/>
  <c r="C10" i="9"/>
  <c r="B10" i="9"/>
  <c r="B26" i="6" l="1"/>
  <c r="B15" i="7"/>
  <c r="B14" i="5"/>
  <c r="F13" i="2"/>
  <c r="D13" i="2"/>
  <c r="B13" i="2"/>
  <c r="D14" i="2"/>
  <c r="D7" i="2"/>
  <c r="D6" i="2"/>
  <c r="F14" i="2"/>
  <c r="F7" i="2"/>
  <c r="F6" i="2"/>
  <c r="E22" i="7"/>
  <c r="D22" i="7"/>
  <c r="C22" i="7"/>
  <c r="B22" i="7"/>
  <c r="B24" i="4" l="1"/>
  <c r="B27" i="4"/>
  <c r="C26" i="7"/>
  <c r="B26" i="7"/>
  <c r="D26" i="7"/>
  <c r="E26" i="7"/>
  <c r="C27" i="7"/>
  <c r="D27" i="7"/>
  <c r="E27" i="7"/>
  <c r="E6" i="7"/>
  <c r="D6" i="7"/>
  <c r="B8" i="9"/>
  <c r="B6" i="9"/>
  <c r="L55" i="6"/>
  <c r="M44" i="6"/>
  <c r="E14" i="2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G14" i="2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24" i="2"/>
  <c r="G24" i="2" s="1"/>
  <c r="E4" i="8"/>
  <c r="D4" i="8"/>
  <c r="C4" i="8"/>
  <c r="B4" i="8"/>
  <c r="E11" i="9"/>
  <c r="E9" i="9" s="1"/>
  <c r="D11" i="9"/>
  <c r="D9" i="9" s="1"/>
  <c r="C11" i="9"/>
  <c r="C9" i="9" s="1"/>
  <c r="B11" i="9"/>
  <c r="B9" i="9" s="1"/>
  <c r="D6" i="9" l="1"/>
  <c r="E6" i="9"/>
  <c r="C6" i="9"/>
  <c r="D32" i="2"/>
  <c r="F32" i="2" s="1"/>
  <c r="D25" i="2"/>
  <c r="F25" i="2" s="1"/>
  <c r="D24" i="2"/>
  <c r="F24" i="2" s="1"/>
  <c r="C26" i="11"/>
  <c r="C27" i="11" s="1"/>
  <c r="C22" i="1" s="1"/>
  <c r="D26" i="11"/>
  <c r="C5" i="11"/>
  <c r="C13" i="11"/>
  <c r="C16" i="11"/>
  <c r="C19" i="11"/>
  <c r="B21" i="7" l="1"/>
  <c r="D6" i="11"/>
  <c r="E4" i="3"/>
  <c r="G4" i="3" s="1"/>
  <c r="B29" i="2"/>
  <c r="B27" i="2"/>
  <c r="B11" i="2" l="1"/>
  <c r="B12" i="2"/>
  <c r="B10" i="2"/>
  <c r="B9" i="2"/>
  <c r="B8" i="2"/>
  <c r="B15" i="2" s="1"/>
  <c r="B5" i="11"/>
  <c r="D28" i="2"/>
  <c r="B28" i="2"/>
  <c r="F10" i="2"/>
  <c r="B4" i="4"/>
  <c r="C4" i="11" s="1"/>
  <c r="D13" i="5"/>
  <c r="C13" i="5"/>
  <c r="E7" i="9"/>
  <c r="D7" i="9"/>
  <c r="C7" i="9"/>
  <c r="B7" i="9"/>
  <c r="C5" i="9"/>
  <c r="B5" i="9"/>
  <c r="B18" i="2" l="1"/>
  <c r="F28" i="2"/>
  <c r="F27" i="2"/>
  <c r="D27" i="2"/>
  <c r="F29" i="2"/>
  <c r="D29" i="2"/>
  <c r="D5" i="9"/>
  <c r="E5" i="9"/>
  <c r="D18" i="5" l="1"/>
  <c r="E5" i="8"/>
  <c r="G15" i="1" s="1"/>
  <c r="C5" i="8"/>
  <c r="C15" i="1" s="1"/>
  <c r="B5" i="8"/>
  <c r="B15" i="1" s="1"/>
  <c r="F26" i="11"/>
  <c r="E26" i="11"/>
  <c r="F18" i="11"/>
  <c r="E18" i="11"/>
  <c r="D18" i="11"/>
  <c r="F17" i="11"/>
  <c r="E17" i="11"/>
  <c r="E16" i="11" s="1"/>
  <c r="D17" i="11"/>
  <c r="D16" i="11" s="1"/>
  <c r="F15" i="11"/>
  <c r="F13" i="11" s="1"/>
  <c r="E15" i="11"/>
  <c r="E13" i="11" s="1"/>
  <c r="D15" i="11"/>
  <c r="D13" i="11" s="1"/>
  <c r="F14" i="11"/>
  <c r="E14" i="11"/>
  <c r="D14" i="11"/>
  <c r="F12" i="11"/>
  <c r="E12" i="11"/>
  <c r="D12" i="11"/>
  <c r="F11" i="11"/>
  <c r="E11" i="11"/>
  <c r="D11" i="11"/>
  <c r="F10" i="11"/>
  <c r="E10" i="11"/>
  <c r="D10" i="11"/>
  <c r="F9" i="11"/>
  <c r="E9" i="11"/>
  <c r="D9" i="11"/>
  <c r="F8" i="11"/>
  <c r="E8" i="11"/>
  <c r="D8" i="11"/>
  <c r="F7" i="11"/>
  <c r="E7" i="11"/>
  <c r="D7" i="11"/>
  <c r="D5" i="8"/>
  <c r="E15" i="1" s="1"/>
  <c r="B12" i="5"/>
  <c r="B9" i="5"/>
  <c r="B5" i="5"/>
  <c r="B25" i="5"/>
  <c r="C14" i="5"/>
  <c r="D14" i="5" s="1"/>
  <c r="D12" i="5" s="1"/>
  <c r="D10" i="2"/>
  <c r="D6" i="4"/>
  <c r="C6" i="4"/>
  <c r="B4" i="9"/>
  <c r="E10" i="4"/>
  <c r="D10" i="4"/>
  <c r="B10" i="4"/>
  <c r="C10" i="4"/>
  <c r="E14" i="4"/>
  <c r="D14" i="4"/>
  <c r="C14" i="4"/>
  <c r="B14" i="4"/>
  <c r="B37" i="6"/>
  <c r="C11" i="6"/>
  <c r="D37" i="6"/>
  <c r="C37" i="6"/>
  <c r="D8" i="6"/>
  <c r="C8" i="6"/>
  <c r="P17" i="6"/>
  <c r="B6" i="4"/>
  <c r="B19" i="4"/>
  <c r="C12" i="9"/>
  <c r="B6" i="10"/>
  <c r="C17" i="1" s="1"/>
  <c r="E6" i="4"/>
  <c r="B16" i="11"/>
  <c r="B13" i="11"/>
  <c r="E12" i="9"/>
  <c r="F6" i="10"/>
  <c r="G17" i="1" s="1"/>
  <c r="F6" i="11"/>
  <c r="D12" i="9"/>
  <c r="D6" i="10"/>
  <c r="E17" i="1" s="1"/>
  <c r="E6" i="11"/>
  <c r="B26" i="4" l="1"/>
  <c r="C27" i="5"/>
  <c r="B30" i="2"/>
  <c r="D11" i="6"/>
  <c r="F16" i="11"/>
  <c r="C12" i="5"/>
  <c r="F9" i="2"/>
  <c r="D9" i="2"/>
  <c r="D8" i="2"/>
  <c r="E5" i="11"/>
  <c r="D11" i="2"/>
  <c r="D9" i="5"/>
  <c r="C9" i="5"/>
  <c r="C5" i="5"/>
  <c r="F12" i="2"/>
  <c r="D12" i="2"/>
  <c r="C26" i="6"/>
  <c r="D26" i="6"/>
  <c r="C12" i="6"/>
  <c r="D12" i="6"/>
  <c r="G4" i="6"/>
  <c r="B16" i="9"/>
  <c r="B16" i="1" s="1"/>
  <c r="B29" i="7"/>
  <c r="B12" i="1" s="1"/>
  <c r="D5" i="11"/>
  <c r="F5" i="11"/>
  <c r="E16" i="9"/>
  <c r="G16" i="1" s="1"/>
  <c r="D16" i="9"/>
  <c r="E16" i="1" s="1"/>
  <c r="C16" i="9"/>
  <c r="C16" i="1" s="1"/>
  <c r="B18" i="5"/>
  <c r="B26" i="2"/>
  <c r="D22" i="5"/>
  <c r="B22" i="5"/>
  <c r="B17" i="5" s="1"/>
  <c r="B32" i="5" s="1"/>
  <c r="C22" i="5"/>
  <c r="B4" i="5"/>
  <c r="B30" i="5" l="1"/>
  <c r="C11" i="1" s="1"/>
  <c r="B33" i="2"/>
  <c r="B34" i="6" s="1"/>
  <c r="B46" i="6" s="1"/>
  <c r="B25" i="4"/>
  <c r="B10" i="1" s="1"/>
  <c r="B18" i="1" s="1"/>
  <c r="B20" i="1" s="1"/>
  <c r="B21" i="1" s="1"/>
  <c r="D27" i="5"/>
  <c r="C25" i="5"/>
  <c r="C17" i="5" s="1"/>
  <c r="C32" i="5" s="1"/>
  <c r="D30" i="2"/>
  <c r="C4" i="5"/>
  <c r="D4" i="5"/>
  <c r="C41" i="6"/>
  <c r="D41" i="6"/>
  <c r="C52" i="6"/>
  <c r="B41" i="6"/>
  <c r="D52" i="6"/>
  <c r="B52" i="6"/>
  <c r="G33" i="6"/>
  <c r="F11" i="2"/>
  <c r="D15" i="2"/>
  <c r="F8" i="2"/>
  <c r="D5" i="5"/>
  <c r="E11" i="7" s="1"/>
  <c r="D5" i="2"/>
  <c r="B5" i="2"/>
  <c r="B19" i="2" s="1"/>
  <c r="B23" i="2"/>
  <c r="F26" i="2"/>
  <c r="D26" i="2"/>
  <c r="C18" i="5"/>
  <c r="D11" i="7" s="1"/>
  <c r="B31" i="5"/>
  <c r="B16" i="2"/>
  <c r="C18" i="7" l="1"/>
  <c r="C19" i="7"/>
  <c r="D18" i="7"/>
  <c r="D19" i="7"/>
  <c r="C30" i="5"/>
  <c r="E11" i="1" s="1"/>
  <c r="C29" i="4"/>
  <c r="C30" i="4" s="1"/>
  <c r="B36" i="2"/>
  <c r="B37" i="2"/>
  <c r="B34" i="2"/>
  <c r="D31" i="5"/>
  <c r="C31" i="5"/>
  <c r="D18" i="2"/>
  <c r="D4" i="2" s="1"/>
  <c r="F5" i="2"/>
  <c r="B42" i="2"/>
  <c r="B40" i="2"/>
  <c r="C14" i="1" s="1"/>
  <c r="F15" i="2"/>
  <c r="D25" i="5"/>
  <c r="D17" i="5" s="1"/>
  <c r="D32" i="5" s="1"/>
  <c r="F30" i="2"/>
  <c r="F23" i="2" s="1"/>
  <c r="C4" i="4"/>
  <c r="C19" i="4"/>
  <c r="C24" i="4" s="1"/>
  <c r="D4" i="4"/>
  <c r="D19" i="4"/>
  <c r="D23" i="4" s="1"/>
  <c r="D24" i="4" s="1"/>
  <c r="C5" i="6"/>
  <c r="D19" i="2"/>
  <c r="D16" i="2"/>
  <c r="D33" i="2"/>
  <c r="B5" i="6"/>
  <c r="D23" i="2"/>
  <c r="B45" i="6"/>
  <c r="B36" i="6"/>
  <c r="B22" i="2" l="1"/>
  <c r="B39" i="2"/>
  <c r="C10" i="7"/>
  <c r="C29" i="7" s="1"/>
  <c r="C12" i="1" s="1"/>
  <c r="E19" i="7"/>
  <c r="E18" i="7"/>
  <c r="C6" i="1"/>
  <c r="B5" i="3" s="1"/>
  <c r="D30" i="5"/>
  <c r="G11" i="1" s="1"/>
  <c r="C34" i="6"/>
  <c r="C46" i="6" s="1"/>
  <c r="D29" i="4"/>
  <c r="D30" i="4" s="1"/>
  <c r="F33" i="2"/>
  <c r="E29" i="4" s="1"/>
  <c r="E30" i="4" s="1"/>
  <c r="E5" i="1"/>
  <c r="D4" i="3" s="1"/>
  <c r="F18" i="2"/>
  <c r="D40" i="2"/>
  <c r="D41" i="2" s="1"/>
  <c r="D42" i="2"/>
  <c r="F16" i="2"/>
  <c r="D5" i="6"/>
  <c r="F19" i="2"/>
  <c r="D26" i="4"/>
  <c r="D25" i="4"/>
  <c r="D4" i="9"/>
  <c r="E4" i="11"/>
  <c r="B24" i="11" s="1"/>
  <c r="C25" i="4"/>
  <c r="C26" i="4"/>
  <c r="C4" i="9"/>
  <c r="D4" i="11"/>
  <c r="B20" i="11" s="1"/>
  <c r="D20" i="11" s="1"/>
  <c r="C7" i="6"/>
  <c r="D37" i="2"/>
  <c r="D34" i="2"/>
  <c r="D36" i="2"/>
  <c r="D10" i="7" s="1"/>
  <c r="B4" i="2"/>
  <c r="B7" i="6"/>
  <c r="C5" i="1"/>
  <c r="B41" i="2"/>
  <c r="B39" i="6"/>
  <c r="B43" i="6" s="1"/>
  <c r="B51" i="6"/>
  <c r="B38" i="6"/>
  <c r="B42" i="6" s="1"/>
  <c r="B20" i="6" l="1"/>
  <c r="B10" i="6"/>
  <c r="B14" i="6" s="1"/>
  <c r="B25" i="6"/>
  <c r="B9" i="6"/>
  <c r="B13" i="6" s="1"/>
  <c r="C10" i="6"/>
  <c r="C14" i="6" s="1"/>
  <c r="C20" i="6"/>
  <c r="C19" i="6"/>
  <c r="C16" i="6"/>
  <c r="C17" i="6"/>
  <c r="C18" i="6"/>
  <c r="B17" i="6"/>
  <c r="B16" i="6"/>
  <c r="B19" i="6"/>
  <c r="B18" i="6"/>
  <c r="C4" i="1"/>
  <c r="D7" i="6"/>
  <c r="F36" i="2"/>
  <c r="F39" i="2" s="1"/>
  <c r="F42" i="2"/>
  <c r="D34" i="6"/>
  <c r="D36" i="6" s="1"/>
  <c r="F40" i="2"/>
  <c r="F41" i="2" s="1"/>
  <c r="F37" i="2"/>
  <c r="F34" i="2"/>
  <c r="C36" i="6"/>
  <c r="C38" i="6" s="1"/>
  <c r="C42" i="6" s="1"/>
  <c r="C45" i="6"/>
  <c r="C27" i="4"/>
  <c r="C10" i="1" s="1"/>
  <c r="B23" i="11"/>
  <c r="E14" i="1"/>
  <c r="D39" i="2"/>
  <c r="G5" i="1"/>
  <c r="F4" i="3" s="1"/>
  <c r="F4" i="2"/>
  <c r="D29" i="7"/>
  <c r="E12" i="1" s="1"/>
  <c r="D27" i="4"/>
  <c r="E10" i="1" s="1"/>
  <c r="B21" i="11"/>
  <c r="E24" i="11"/>
  <c r="D22" i="2"/>
  <c r="C25" i="6"/>
  <c r="C27" i="6" s="1"/>
  <c r="C28" i="6" s="1"/>
  <c r="E6" i="1"/>
  <c r="D5" i="3" s="1"/>
  <c r="D6" i="3" s="1"/>
  <c r="C9" i="6"/>
  <c r="C13" i="6" s="1"/>
  <c r="B4" i="3"/>
  <c r="B6" i="3" s="1"/>
  <c r="C7" i="1" s="1"/>
  <c r="B44" i="6"/>
  <c r="B47" i="6" s="1"/>
  <c r="B53" i="6"/>
  <c r="B54" i="6" s="1"/>
  <c r="B27" i="6" l="1"/>
  <c r="B28" i="6"/>
  <c r="D15" i="1"/>
  <c r="C8" i="1"/>
  <c r="B15" i="6"/>
  <c r="B21" i="6" s="1"/>
  <c r="B29" i="6" s="1"/>
  <c r="C15" i="6"/>
  <c r="C21" i="6" s="1"/>
  <c r="C29" i="6" s="1"/>
  <c r="C59" i="6" s="1"/>
  <c r="D10" i="6"/>
  <c r="D14" i="6" s="1"/>
  <c r="D20" i="6"/>
  <c r="D18" i="6"/>
  <c r="D17" i="6"/>
  <c r="D16" i="6"/>
  <c r="D19" i="6"/>
  <c r="G11" i="6"/>
  <c r="D17" i="1"/>
  <c r="D12" i="1"/>
  <c r="D45" i="6"/>
  <c r="F22" i="2"/>
  <c r="E10" i="7"/>
  <c r="E29" i="7" s="1"/>
  <c r="G12" i="1" s="1"/>
  <c r="D25" i="6"/>
  <c r="D27" i="6" s="1"/>
  <c r="D28" i="6" s="1"/>
  <c r="D46" i="6"/>
  <c r="D6" i="1"/>
  <c r="D5" i="1"/>
  <c r="D16" i="1"/>
  <c r="D10" i="1"/>
  <c r="D14" i="1"/>
  <c r="D11" i="1"/>
  <c r="D9" i="6"/>
  <c r="D13" i="6" s="1"/>
  <c r="G14" i="1"/>
  <c r="G6" i="1"/>
  <c r="F5" i="3" s="1"/>
  <c r="C39" i="6"/>
  <c r="C43" i="6" s="1"/>
  <c r="C44" i="6" s="1"/>
  <c r="G37" i="6" s="1"/>
  <c r="C51" i="6"/>
  <c r="C53" i="6" s="1"/>
  <c r="C54" i="6" s="1"/>
  <c r="E7" i="1"/>
  <c r="E19" i="1" s="1"/>
  <c r="E4" i="4"/>
  <c r="E19" i="4"/>
  <c r="E23" i="4" s="1"/>
  <c r="E24" i="4" s="1"/>
  <c r="F24" i="11"/>
  <c r="E21" i="11"/>
  <c r="F21" i="11"/>
  <c r="F20" i="11"/>
  <c r="E20" i="11"/>
  <c r="D23" i="11"/>
  <c r="E23" i="11"/>
  <c r="F23" i="11"/>
  <c r="E4" i="1"/>
  <c r="F15" i="1" s="1"/>
  <c r="B55" i="6"/>
  <c r="B60" i="6" s="1"/>
  <c r="D51" i="6"/>
  <c r="D39" i="6"/>
  <c r="D43" i="6" s="1"/>
  <c r="D38" i="6"/>
  <c r="D42" i="6" s="1"/>
  <c r="D15" i="6" l="1"/>
  <c r="D21" i="6" s="1"/>
  <c r="D29" i="6" s="1"/>
  <c r="D59" i="6" s="1"/>
  <c r="C19" i="1"/>
  <c r="D19" i="1" s="1"/>
  <c r="C47" i="6"/>
  <c r="C55" i="6" s="1"/>
  <c r="C60" i="6" s="1"/>
  <c r="C58" i="6" s="1"/>
  <c r="E13" i="1" s="1"/>
  <c r="E18" i="1" s="1"/>
  <c r="F18" i="1" s="1"/>
  <c r="D7" i="1"/>
  <c r="E25" i="4"/>
  <c r="E26" i="4"/>
  <c r="F4" i="11"/>
  <c r="E4" i="9"/>
  <c r="F16" i="1"/>
  <c r="F12" i="1"/>
  <c r="F6" i="1"/>
  <c r="G4" i="1"/>
  <c r="H15" i="1" s="1"/>
  <c r="F7" i="1"/>
  <c r="E8" i="1"/>
  <c r="F19" i="1"/>
  <c r="F17" i="1"/>
  <c r="F14" i="1"/>
  <c r="F5" i="1"/>
  <c r="F10" i="1"/>
  <c r="F11" i="1"/>
  <c r="F6" i="3"/>
  <c r="D53" i="6"/>
  <c r="D54" i="6" s="1"/>
  <c r="D44" i="6"/>
  <c r="D47" i="6" s="1"/>
  <c r="B59" i="6"/>
  <c r="B58" i="6" s="1"/>
  <c r="C13" i="1" s="1"/>
  <c r="C18" i="1" l="1"/>
  <c r="C20" i="1" s="1"/>
  <c r="H14" i="1"/>
  <c r="G7" i="1"/>
  <c r="H7" i="1" s="1"/>
  <c r="E27" i="4"/>
  <c r="G10" i="1" s="1"/>
  <c r="H10" i="1" s="1"/>
  <c r="B22" i="11"/>
  <c r="B25" i="11"/>
  <c r="H16" i="1"/>
  <c r="H6" i="1"/>
  <c r="H12" i="1"/>
  <c r="H11" i="1"/>
  <c r="H17" i="1"/>
  <c r="H5" i="1"/>
  <c r="E20" i="1"/>
  <c r="E21" i="1" s="1"/>
  <c r="F13" i="1"/>
  <c r="D55" i="6"/>
  <c r="D60" i="6" s="1"/>
  <c r="D13" i="1"/>
  <c r="D18" i="1"/>
  <c r="G8" i="1" l="1"/>
  <c r="G19" i="1"/>
  <c r="H19" i="1" s="1"/>
  <c r="F25" i="11"/>
  <c r="E19" i="11"/>
  <c r="E27" i="11" s="1"/>
  <c r="F22" i="11"/>
  <c r="B19" i="11"/>
  <c r="B27" i="11" s="1"/>
  <c r="B22" i="1" s="1"/>
  <c r="B23" i="1" s="1"/>
  <c r="B24" i="1" s="1"/>
  <c r="D58" i="6"/>
  <c r="G13" i="1" s="1"/>
  <c r="G18" i="1" s="1"/>
  <c r="H18" i="1" s="1"/>
  <c r="C21" i="1"/>
  <c r="G22" i="1" l="1"/>
  <c r="F19" i="11"/>
  <c r="F27" i="11" s="1"/>
  <c r="D19" i="11"/>
  <c r="D27" i="11" s="1"/>
  <c r="H13" i="1"/>
  <c r="G20" i="1"/>
  <c r="G21" i="1" s="1"/>
  <c r="C23" i="1" l="1"/>
  <c r="C24" i="1" s="1"/>
  <c r="E22" i="1"/>
  <c r="E23" i="1" s="1"/>
  <c r="G23" i="1"/>
  <c r="E24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Atsolakidis</author>
    <author>Manos Koumantakis</author>
  </authors>
  <commentList>
    <comment ref="A16" authorId="0" shapeId="0" xr:uid="{24DE99EC-3AEE-45FF-811B-988161385AC3}">
      <text>
        <r>
          <rPr>
            <b/>
            <sz val="9"/>
            <color indexed="81"/>
            <rFont val="Tahoma"/>
            <family val="2"/>
          </rPr>
          <t>Revenue from orders with Cash on Delivery- Τζίρος από παραγγελίες με αντικαταβολή</t>
        </r>
      </text>
    </comment>
    <comment ref="A20" authorId="1" shapeId="0" xr:uid="{AEAC694A-BE83-451D-9BD6-C3A0BDB4F46E}">
      <text>
        <r>
          <rPr>
            <b/>
            <sz val="9"/>
            <color indexed="81"/>
            <rFont val="Tahoma"/>
            <family val="2"/>
          </rPr>
          <t>Revenue from orders that are below the free shiping threshold</t>
        </r>
      </text>
    </comment>
    <comment ref="A27" authorId="0" shapeId="0" xr:uid="{B46F2C61-ABDC-4C9F-850F-2F57FDD1E1D5}">
      <text>
        <r>
          <rPr>
            <b/>
            <sz val="9"/>
            <color indexed="81"/>
            <rFont val="Tahoma"/>
            <family val="2"/>
          </rPr>
          <t>Revenue from Returns (5€)</t>
        </r>
      </text>
    </comment>
    <comment ref="A45" authorId="0" shapeId="0" xr:uid="{1819AC14-4C99-4DCE-A955-E6BA1DB625F7}">
      <text>
        <r>
          <rPr>
            <b/>
            <sz val="9"/>
            <color indexed="81"/>
            <rFont val="Tahoma"/>
            <family val="2"/>
          </rPr>
          <t>Revenue from orders with Cash on Delivery- Τζίρος από παραγγελίες με αντικαταβολή</t>
        </r>
      </text>
    </comment>
    <comment ref="A46" authorId="1" shapeId="0" xr:uid="{2BE42A4C-43A3-4F4E-97B4-F72BD3BA4EB2}">
      <text>
        <r>
          <rPr>
            <b/>
            <sz val="9"/>
            <color indexed="81"/>
            <rFont val="Tahoma"/>
            <family val="2"/>
          </rPr>
          <t>Revenue from orders that are below the free shiping threshold</t>
        </r>
      </text>
    </comment>
    <comment ref="A53" authorId="0" shapeId="0" xr:uid="{A93AE14E-683E-42F4-8805-3AEDA5D53ED5}">
      <text>
        <r>
          <rPr>
            <b/>
            <sz val="9"/>
            <color indexed="81"/>
            <rFont val="Tahoma"/>
            <family val="2"/>
          </rPr>
          <t>Revenue from orders with Cash on Delivery- Τζίρος από παραγγελίες με αντικαταβολή</t>
        </r>
      </text>
    </comment>
  </commentList>
</comments>
</file>

<file path=xl/sharedStrings.xml><?xml version="1.0" encoding="utf-8"?>
<sst xmlns="http://schemas.openxmlformats.org/spreadsheetml/2006/main" count="398" uniqueCount="266">
  <si>
    <t>Profit and Loss</t>
  </si>
  <si>
    <t>10 μήνες πριν την έναρξη λειτουργίας</t>
  </si>
  <si>
    <t>1ος χρόνος</t>
  </si>
  <si>
    <t>2ος χρόνος</t>
  </si>
  <si>
    <t>3ος χρόνος</t>
  </si>
  <si>
    <t>Πωλήσεις</t>
  </si>
  <si>
    <t>Πωλήσεις Ελλάδας</t>
  </si>
  <si>
    <t xml:space="preserve">Πωλήσεις Εξωτερικού </t>
  </si>
  <si>
    <t>Μικτό Κέρδος</t>
  </si>
  <si>
    <t>Προσωπικό</t>
  </si>
  <si>
    <t>Marketing</t>
  </si>
  <si>
    <t>-</t>
  </si>
  <si>
    <t>Εξωτερικοί Συνεργάτες</t>
  </si>
  <si>
    <t>Αποστολές</t>
  </si>
  <si>
    <t>Συσκευασία (1€ / παραγγελία)</t>
  </si>
  <si>
    <t>Ενοίκιο</t>
  </si>
  <si>
    <t>Λογαριασμοί</t>
  </si>
  <si>
    <t>Μετακινήσεις</t>
  </si>
  <si>
    <t>Έκτακτα έξοδα (απρόβλεπτα) (2% of OPEX)</t>
  </si>
  <si>
    <t>Αποσβέσεις</t>
  </si>
  <si>
    <t>Κέρδος / Ζημία</t>
  </si>
  <si>
    <t/>
  </si>
  <si>
    <t>Cost of Goods Sold (Κόστος Πωληθέντων)- CoGS</t>
  </si>
  <si>
    <t>Έτος1</t>
  </si>
  <si>
    <t>% Margin</t>
  </si>
  <si>
    <t>Έτος2</t>
  </si>
  <si>
    <t>Έτος3</t>
  </si>
  <si>
    <t>Σύνολο CoGS</t>
  </si>
  <si>
    <t>Ελλάδα</t>
  </si>
  <si>
    <t>Επισκέψεις &amp; Conversion</t>
  </si>
  <si>
    <t>Organic</t>
  </si>
  <si>
    <t>Direct</t>
  </si>
  <si>
    <t>YouTube (€0,20 CPC)</t>
  </si>
  <si>
    <t>Affiliates (10% Commision)</t>
  </si>
  <si>
    <t>Newsletter</t>
  </si>
  <si>
    <t>Referrals (sites)</t>
  </si>
  <si>
    <t>Σύνολο Παραγγελιών Περιόδου</t>
  </si>
  <si>
    <t>Ημερήσιες Παραγγελίες</t>
  </si>
  <si>
    <t>Conversion Rate</t>
  </si>
  <si>
    <t>Εξωτερικό</t>
  </si>
  <si>
    <t>Paid Search (€0,40 CPC)</t>
  </si>
  <si>
    <t>Display (€0,13 CPC)</t>
  </si>
  <si>
    <t>YouTube (€0,35 CPC)</t>
  </si>
  <si>
    <t>Facebook &amp; IG Ads (€0,50 CPC)</t>
  </si>
  <si>
    <t xml:space="preserve">Σύνολο Πωλήσεων </t>
  </si>
  <si>
    <t>Μέσος Ημερήσιος Αριθμός Παραγγελιών Περιόδου</t>
  </si>
  <si>
    <t>Μέσο conversion rate του website</t>
  </si>
  <si>
    <t>*CPCs are re-calculated for Sessions</t>
  </si>
  <si>
    <t>Κόστη Προσωπικού</t>
  </si>
  <si>
    <t xml:space="preserve"> </t>
  </si>
  <si>
    <t>eCommerce Manager</t>
  </si>
  <si>
    <t>Ειδικός Digital Marketing</t>
  </si>
  <si>
    <t>Developers</t>
  </si>
  <si>
    <t>Developer 1</t>
  </si>
  <si>
    <t>Developer 2</t>
  </si>
  <si>
    <t>Developer 3</t>
  </si>
  <si>
    <t>Εξυπηρέτηση Πελατών</t>
  </si>
  <si>
    <t>Logistics</t>
  </si>
  <si>
    <t>Μηνιαίο Σύνολο</t>
  </si>
  <si>
    <t>Σύνολο Περιόδου</t>
  </si>
  <si>
    <t>Δημόσια Ασφάλιση</t>
  </si>
  <si>
    <t>Εκπαίδευση (5% του ετήσιου μισθού του προσωπικού)</t>
  </si>
  <si>
    <t>Σύνολο Κόστος Προσωπικού</t>
  </si>
  <si>
    <t>Παραγγελίες ανά ημέρα</t>
  </si>
  <si>
    <t>Γλώσσες</t>
  </si>
  <si>
    <t>Έξοδα πλατφόρμας</t>
  </si>
  <si>
    <t>Πλατφόρμα eCommerce υποστηρικτικές υπηρεσίες - συντήρηση πλατφόρμας</t>
  </si>
  <si>
    <t>GR</t>
  </si>
  <si>
    <t>Προσθέστε γλώσσες που υποστηρίζονται ανά έτος μέσα στο πλαίσιο</t>
  </si>
  <si>
    <t>Έξοδα πλατφόρμας Live chat</t>
  </si>
  <si>
    <t>Email Marketing / Marketing Automation Πλατφόρμα</t>
  </si>
  <si>
    <t>Ηλεκτρονικές Πληρωμές (Πιστωτικές Κάρτες , Paypal)</t>
  </si>
  <si>
    <t>Digital Performance Marketing Agency</t>
  </si>
  <si>
    <t xml:space="preserve">Σύμβουλοι eCommerce </t>
  </si>
  <si>
    <t>Λογιστής</t>
  </si>
  <si>
    <t>Νομικός Σύμβουλος/ Νομικές Υπηρεσίες</t>
  </si>
  <si>
    <t>3PL</t>
  </si>
  <si>
    <t>3PL Αποθήκευση</t>
  </si>
  <si>
    <t>3PL Κόστος ανά Αποστολή Παραγγελίας (1,5€ / παραγγελία)</t>
  </si>
  <si>
    <t>Κόστος Αναλωσίμων ανά Παραγγελία  (0,60€ / παραγγελία)</t>
  </si>
  <si>
    <t>Κόστος Περιεχομένου &amp; Προσαρμογής Ανά Τοποθεσία</t>
  </si>
  <si>
    <t>Περιεχόμενο - Blog posts (€50 το καθένα, X άρθρα το χρόνο/γλώσσα)</t>
  </si>
  <si>
    <t>Περιεχόμενο - Lifestyle Φωτογραφίες (€10 η καθεμία)</t>
  </si>
  <si>
    <t>Περιεχόμενο - Φωτογραφίες Προϊόντων (€2,5 η καθεμία)</t>
  </si>
  <si>
    <t>Περιεχόμενο - Παραγωγή Video (€2000 το καθένα)</t>
  </si>
  <si>
    <t>Άλλα κόστη ανά τοποθεσία (πχ trustmarks, μέθοδοι πληρωμής, κτλ)</t>
  </si>
  <si>
    <t>Σύνολο Κόστους Εξωτερικών Συνεργατών</t>
  </si>
  <si>
    <t>Κόστη Marketing</t>
  </si>
  <si>
    <t>Google Ads</t>
  </si>
  <si>
    <t>Display (GDN &amp; Programmatic)</t>
  </si>
  <si>
    <t>YouTube</t>
  </si>
  <si>
    <t>Social</t>
  </si>
  <si>
    <t>Facebook &amp; Instagram</t>
  </si>
  <si>
    <t>LinkedIn</t>
  </si>
  <si>
    <t>Other</t>
  </si>
  <si>
    <t>SEO</t>
  </si>
  <si>
    <t>Affiliates</t>
  </si>
  <si>
    <t>Online Coupons</t>
  </si>
  <si>
    <t>SEM (Categories &amp; Brand)</t>
  </si>
  <si>
    <t>Σύνολο Marketing budget</t>
  </si>
  <si>
    <t>Y1</t>
  </si>
  <si>
    <t>Y2</t>
  </si>
  <si>
    <t>Y3</t>
  </si>
  <si>
    <t>GR --&gt; GR</t>
  </si>
  <si>
    <t>Μέσο Κόστος Αποστολής:</t>
  </si>
  <si>
    <t>Courier</t>
  </si>
  <si>
    <t>Int. Courier</t>
  </si>
  <si>
    <t>Παραγγελίες:</t>
  </si>
  <si>
    <t>Χρέωση Πελάτη για Αντικαταβολή</t>
  </si>
  <si>
    <t>χρέωση</t>
  </si>
  <si>
    <t>Ποσόστωση</t>
  </si>
  <si>
    <t>Ποσοστό Παραγγελιών "Παραλαβή από το Κατάστημα"</t>
  </si>
  <si>
    <t>Χρέωση Πελάτη για Επιλογή 4h Διαστήματος</t>
  </si>
  <si>
    <t>Παραγγελίες προς Αποστολή</t>
  </si>
  <si>
    <t>Χρέωση Πελάτη για Παράδοση Σαββάτου</t>
  </si>
  <si>
    <t>Χρεώσεις</t>
  </si>
  <si>
    <t>Εντός Αττικής</t>
  </si>
  <si>
    <t>Zone 1 &amp;2</t>
  </si>
  <si>
    <t>Ποσοστό Αντικαταβολής</t>
  </si>
  <si>
    <t>Χρέωση για παράδοση την ίδια μέρα</t>
  </si>
  <si>
    <t>Χερσαίοι</t>
  </si>
  <si>
    <t>Zone 3</t>
  </si>
  <si>
    <t>Αριθμός Παραγγελιών με Αντικαταβολή</t>
  </si>
  <si>
    <t>Νησιωτικοί</t>
  </si>
  <si>
    <t>Zone 4</t>
  </si>
  <si>
    <t>Αριθμός Παραγγελιών χωρίς Αντικαταβολή</t>
  </si>
  <si>
    <t xml:space="preserve">Όριο Δωρεάν Αποστολής </t>
  </si>
  <si>
    <t>Δυσπρόσιτες</t>
  </si>
  <si>
    <t>Επίναυλος καυσίμου</t>
  </si>
  <si>
    <t>Μέσο Κόστος Αποστολής ανά παραγγελία με Αντικαταβολή</t>
  </si>
  <si>
    <t>Συμμετοχή Πελάτη</t>
  </si>
  <si>
    <t>Επιπρόσθετες Χρεώσεις</t>
  </si>
  <si>
    <t>Αντικαταβολή Εντός Αττικής</t>
  </si>
  <si>
    <t>Μέσο Κόστος Αποστολής ανά παραγγελία χωρίς Αντικαταβολή</t>
  </si>
  <si>
    <t>Αντικαταβολή Εκτός Αττικής</t>
  </si>
  <si>
    <t>Κόστος Παραγγελιών με Αντικαταβολή</t>
  </si>
  <si>
    <t xml:space="preserve">Δέσμευση χρονικού διαστήματος 4h </t>
  </si>
  <si>
    <t>Κόστος Παραγγελιών χωρίς Αντικαταβολή</t>
  </si>
  <si>
    <t>Παράδοση Σαββάτου</t>
  </si>
  <si>
    <t>Σύνολο Κόστους Αποστολής</t>
  </si>
  <si>
    <t>Παράδοση την ίδια μέρα</t>
  </si>
  <si>
    <t>Συμμετοχή Πελατών στο κόστος Αντικαταβολής</t>
  </si>
  <si>
    <t>SMS Ειδοποίηση</t>
  </si>
  <si>
    <t>Έσοδα από παραγγελίες με δέσμευση χρονικού διαστήματος</t>
  </si>
  <si>
    <t>Πληρωμή</t>
  </si>
  <si>
    <t>Σύνολο Παραγγελιών με Αντικαταβολή</t>
  </si>
  <si>
    <t>Έσοδα από παραγγελίες με παράδοση Σαββάτου</t>
  </si>
  <si>
    <t>Total Παραγγελιών με χρήση πιστ./χρεωστ. Κάρτας</t>
  </si>
  <si>
    <t>Έσοδα από παραγγελίες με παράδοση την ίδια μέρα</t>
  </si>
  <si>
    <t>Σύνολο Παραγγελιών PayPal</t>
  </si>
  <si>
    <t>Βάρος</t>
  </si>
  <si>
    <t>Παραγγελίες &lt;2kg</t>
  </si>
  <si>
    <t xml:space="preserve">Κόστος Αποστολής </t>
  </si>
  <si>
    <t>Παραγγελίες 2kg - 3kg</t>
  </si>
  <si>
    <t>Παραγγελίες 3kg-4kg</t>
  </si>
  <si>
    <t>Παραγγελίες 4kg-5kg</t>
  </si>
  <si>
    <t>% επιστροφών</t>
  </si>
  <si>
    <t>MOV</t>
  </si>
  <si>
    <t>Αριθμός Παραγγελιών που επιστρέφονται από τους πελάτες</t>
  </si>
  <si>
    <t>Κόστος</t>
  </si>
  <si>
    <t>Μέσο κόστος αποστολής ανά επιστροφή</t>
  </si>
  <si>
    <t>Παραγγελίες &lt;80€</t>
  </si>
  <si>
    <t>Παραγγελίες &lt;60€</t>
  </si>
  <si>
    <t>Συμμετοχή Πελάτη στο Κόστος Επιστροφής (€0 συμ/νου ΦΠΑ)</t>
  </si>
  <si>
    <t>Μέσο κόστος: (με αντικαταβολή)</t>
  </si>
  <si>
    <t>Μέσο κόστος</t>
  </si>
  <si>
    <t>Μέσο κόστος: (χωρίς αντ/ολή)</t>
  </si>
  <si>
    <t>GR --&gt; GR Σύνολο Κόστους Αποστολής</t>
  </si>
  <si>
    <t>GR --&gt; INTL</t>
  </si>
  <si>
    <t>Orders:</t>
  </si>
  <si>
    <t>Χρέωση Πελάτη για τη Αποστολή</t>
  </si>
  <si>
    <t>Κόστος Αποστολής</t>
  </si>
  <si>
    <t>Μέσο Κόστος Αποστολής ανά επιστροφή</t>
  </si>
  <si>
    <t>Παραγγελίες &lt;85€</t>
  </si>
  <si>
    <t>GR --&gt; INTL Σύνολο Κόστους Αποστολής</t>
  </si>
  <si>
    <t>Ενοίκιο Ελλάδα &amp; Εξωτερικό</t>
  </si>
  <si>
    <t>Σύνολο Ενοικίου</t>
  </si>
  <si>
    <t>*Σύμφωνα με το κατανεμημένο κόστος ανά χώρα</t>
  </si>
  <si>
    <t>Έξοδα Μετακινήσεων</t>
  </si>
  <si>
    <t>Μέσο Κόστος ανά μετακίνηση/ υπάλληλο</t>
  </si>
  <si>
    <t>Σύνολο Κόστος Μετακινήσεων</t>
  </si>
  <si>
    <t>Αριθμός Υπαλλήλων Περιόδου:</t>
  </si>
  <si>
    <t>Ηλεκτρικό Ρεύμα Σύνολο</t>
  </si>
  <si>
    <t xml:space="preserve">Ηλεκτρικό Ρεύμα - GR &amp; Int </t>
  </si>
  <si>
    <t>Νερό Σύνολο</t>
  </si>
  <si>
    <t xml:space="preserve">Νερό -GR &amp; Int </t>
  </si>
  <si>
    <t xml:space="preserve">Γραμμές Σταθερού Τηλεφώνου - GR &amp; Int </t>
  </si>
  <si>
    <t>Μηνιαίο Κόστος ανά υπάλληλο</t>
  </si>
  <si>
    <t>Εκτυπωτές</t>
  </si>
  <si>
    <t>Internet, Hosting, κτλ Σύνολο</t>
  </si>
  <si>
    <t>Internet</t>
  </si>
  <si>
    <t>Hosting</t>
  </si>
  <si>
    <t>Άλλα Έξοδα</t>
  </si>
  <si>
    <t>Σύνολο Λογαριασμών</t>
  </si>
  <si>
    <t>Αποσβέσεις (3 έτη)</t>
  </si>
  <si>
    <t>Σύνολο Επένδυσης</t>
  </si>
  <si>
    <t>Αποσβέσεις Ετος0</t>
  </si>
  <si>
    <t>Αποσβέσεις Έτος1</t>
  </si>
  <si>
    <t>Αποσβέσεις Έτος2</t>
  </si>
  <si>
    <t>Αποσβέσεις Έτος3</t>
  </si>
  <si>
    <t>Κατασκευή Εγκαταστάσεων</t>
  </si>
  <si>
    <t>Ράφια/ Κατασκευές Έτος1</t>
  </si>
  <si>
    <t>Οροφή Έτος1</t>
  </si>
  <si>
    <t>Air Conditions Έτος1</t>
  </si>
  <si>
    <t>Βάψιμο Έτος1</t>
  </si>
  <si>
    <t>Ζυγαριές Προϊόντων Έτος1</t>
  </si>
  <si>
    <t>Συσκευές Barcode Ετος1</t>
  </si>
  <si>
    <t>Τηλεφωνικό Κέντρο Έτος1</t>
  </si>
  <si>
    <t>Εφαρμογές</t>
  </si>
  <si>
    <t>Νέα eCommerce Πλατφόρμα &amp; ERP Διασύνδεση 'Ετος1</t>
  </si>
  <si>
    <t>CRM Πλατφόρμα Έτος1</t>
  </si>
  <si>
    <t>Εξοπλισμός Ετος1</t>
  </si>
  <si>
    <t>Κατασκευαστής Φυσαλίδων Συσκευασίας Έτος1</t>
  </si>
  <si>
    <t>Εξοπλισμός Studio Φωτογραφίας</t>
  </si>
  <si>
    <t>Εξοπλισμός Προσωπικού (Έπιπλα, IT)</t>
  </si>
  <si>
    <t>Γραφείο €350 ανά υπάλληλο Ετος1</t>
  </si>
  <si>
    <t>Γραφείο €350 ανά υπάλληλο Ετος2</t>
  </si>
  <si>
    <t>Γραφείο €350 ανά υπάλληλο Ετος3</t>
  </si>
  <si>
    <t>PC &amp; τηλέφωνο €800 ανά υπάλληλο Έτος1</t>
  </si>
  <si>
    <t>PC &amp; τηλέφωνο €800 ανά υπάλληλο Έτος2</t>
  </si>
  <si>
    <t>PC &amp; τηλέφωνο €800 ανά υπάλληλο Έτος3</t>
  </si>
  <si>
    <t>Διάφορα</t>
  </si>
  <si>
    <t>Σύνολο Αποσβέσεων</t>
  </si>
  <si>
    <t>Κόστος Πωληθέντων (CoGS)</t>
  </si>
  <si>
    <t>Λειτουργικά Έξοδα</t>
  </si>
  <si>
    <t>Απαξίωση Αποθέματος (0,5% of COGS)</t>
  </si>
  <si>
    <t>Κέρδη προ Φόρων και Αποσβέσεων</t>
  </si>
  <si>
    <r>
      <rPr>
        <sz val="11"/>
        <color rgb="FF000000"/>
        <rFont val="Calibri"/>
      </rPr>
      <t xml:space="preserve">Υπάλληλοι </t>
    </r>
    <r>
      <rPr>
        <i/>
        <sz val="11"/>
        <color rgb="FF000000"/>
        <rFont val="Calibri"/>
      </rPr>
      <t>x</t>
    </r>
    <r>
      <rPr>
        <sz val="11"/>
        <color rgb="FF000000"/>
        <rFont val="Calibri"/>
      </rPr>
      <t xml:space="preserve"> Μετακινήσεις το χρόνο</t>
    </r>
  </si>
  <si>
    <t>Σύνολο Παραγγελιών με χρήση πιστ./χρεωστ. Κάρτας</t>
  </si>
  <si>
    <t>Κόστη Πωληθέντων Ελλάδα</t>
  </si>
  <si>
    <t>Κόστη Πωληθέντων Εξωτερικό</t>
  </si>
  <si>
    <t>Μέσο Καλάθι (προ ΦΠΑ)</t>
  </si>
  <si>
    <t>Οργανικές Επισκέψεις (SEO)</t>
  </si>
  <si>
    <t>Direct Επισκέψεις)</t>
  </si>
  <si>
    <t>*Επισκέψεις Πληρωμένων Αποτελεσμάτων στις Μηχανές Αναζήτησης</t>
  </si>
  <si>
    <t>Paid Search* (€0,35 CPC)</t>
  </si>
  <si>
    <t>Display Network* (€0,09 CPC)</t>
  </si>
  <si>
    <t>*Επισκέψεις απο διαφήμιση σε 3α sites (συνήθως του δικτύου της Google)</t>
  </si>
  <si>
    <t>Facebook &amp; Instagram Ads (€0,35 CPC)</t>
  </si>
  <si>
    <t>*Επισκέψεις απο διαφήμιση σε 3α sites μέσω Affiliate Network</t>
  </si>
  <si>
    <t>Web Designer</t>
  </si>
  <si>
    <t>User Experience Αναλυτής</t>
  </si>
  <si>
    <t>(GR site) Υπάλληλος (μέχρι 30 επαφές με πελάτη ο καθένας για περίπου 60 παραγγελίες/μέρα)</t>
  </si>
  <si>
    <t>INT site) Υπάλληλος (μέχρι 30 επαφές με πελάτη ο καθένας για περίπου 60 παραγγελίες/μέρα)</t>
  </si>
  <si>
    <t>Υπάλληλος Παραλαβής/Συλλογής/Συσκευασίας(70 παραγγελίες/ ημέρα) INT &amp; GR</t>
  </si>
  <si>
    <t>Πλατφόρμα eCommerce Επιπλέον Ανάπτυξη (νέες υλοποιήσεις)</t>
  </si>
  <si>
    <t>ERP Επαγγελματικές Υπηρεσίες (διασύνδεση/διαμόρφωση ERP συστήματος)</t>
  </si>
  <si>
    <t>Τηλεφωνικό Κέντρο (μέση διάρκεια 3', μέσο κόστος 0,3/λεπτό)</t>
  </si>
  <si>
    <t>Υπηρεσίες Web Design (2μήνες στο έτος)</t>
  </si>
  <si>
    <t>Μηνιαίο Κόστος Υποστήριξης - Προσαρμογή περιεχόμένου ανά γλώσσα &amp; μετάφραση (400€/μήνα/γλώσσα)</t>
  </si>
  <si>
    <t>Εφάπαξ Κόστος - Προσαρμογή περιεχόμένου ανά γλώσσα &amp; μετάφραση (2.500€/ γλώσσα)</t>
  </si>
  <si>
    <t>*Επισκέψεις απο site 3ων (χωρίς πληρωμή)</t>
  </si>
  <si>
    <t>*Διαφήμιση σε Μηχανές Αναζήτησης</t>
  </si>
  <si>
    <t>*Διαφήμιση σε 3α sites (συνήθως του δικτύου της Google)</t>
  </si>
  <si>
    <t>*Διαφήμιση σε 3α sites μέσω Affiliate Network</t>
  </si>
  <si>
    <t>*SEO υπηρεσίες για την εμφάνιση στα οργανικά αποτελέσματα στις μηχανές αναζήτησης</t>
  </si>
  <si>
    <t>Affiliates*</t>
  </si>
  <si>
    <t>SEO*</t>
  </si>
  <si>
    <t>Display (GDN &amp; Programmatic)*</t>
  </si>
  <si>
    <t>Paid Search (Categories &amp; Brand)*</t>
  </si>
  <si>
    <t xml:space="preserve">Χρέωση πελάτη για Αξία παραγγελίας κάτω απο το όριο Δωρεάν Αποστολής </t>
  </si>
  <si>
    <t>Έσοδα από παραγγελίες με αξία μικρότερη απο το όριο Δωρεάν Αποστολής</t>
  </si>
  <si>
    <t>Δωρεάν Επιστροφή και Επαναποστολή</t>
  </si>
  <si>
    <t>Κόστος Αποστολής Δωρεάν Επιστροφής και Επαναποστολής</t>
  </si>
  <si>
    <t>Συνολικό Κέρδος / Ζημία</t>
  </si>
  <si>
    <t>Συνολικό Λειτουργικό Κόστος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</si>
</sst>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#,##0\ &quot;€&quot;"/>
    <numFmt numFmtId="166" formatCode="0.0%"/>
    <numFmt numFmtId="167" formatCode="#,##0.00\ &quot;€&quot;"/>
    <numFmt numFmtId="168" formatCode="#,##0.0\ &quot;€&quot;"/>
    <numFmt numFmtId="169" formatCode="&quot;€&quot;#,##0.00"/>
    <numFmt numFmtId="170" formatCode="&quot;€&quot;#,##0"/>
    <numFmt numFmtId="171" formatCode="0.000"/>
    <numFmt numFmtId="172" formatCode="[$€-2]\ #,##0"/>
  </numFmts>
  <fonts count="62" x14ac:knownFonts="1">
    <font>
      <sz val="11"/>
      <color rgb="FF000000"/>
      <name val="Arial"/>
    </font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b/>
      <i/>
      <sz val="9"/>
      <color rgb="FF000000"/>
      <name val="Calibri"/>
      <family val="2"/>
      <charset val="161"/>
    </font>
    <font>
      <b/>
      <sz val="11"/>
      <color rgb="FFFFFFFF"/>
      <name val="Calibri"/>
      <family val="2"/>
      <charset val="161"/>
    </font>
    <font>
      <b/>
      <sz val="11"/>
      <color rgb="FF0070C0"/>
      <name val="Calibri"/>
      <family val="2"/>
      <charset val="161"/>
    </font>
    <font>
      <b/>
      <i/>
      <sz val="11"/>
      <color rgb="FF0070C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theme="0"/>
      <name val="Calibri"/>
      <family val="2"/>
      <charset val="161"/>
    </font>
    <font>
      <sz val="11"/>
      <color theme="0"/>
      <name val="Arial"/>
      <family val="2"/>
      <charset val="161"/>
    </font>
    <font>
      <sz val="11"/>
      <color rgb="FF000000"/>
      <name val="Arial"/>
      <family val="2"/>
      <charset val="161"/>
    </font>
    <font>
      <b/>
      <i/>
      <sz val="10"/>
      <color rgb="FF000000"/>
      <name val="Calibri"/>
      <family val="2"/>
      <charset val="161"/>
    </font>
    <font>
      <sz val="11"/>
      <color rgb="FF000000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charset val="161"/>
    </font>
    <font>
      <b/>
      <sz val="12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1"/>
      <name val="Tahoma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name val="Tahoma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61"/>
    </font>
    <font>
      <sz val="10"/>
      <color indexed="1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i/>
      <sz val="11"/>
      <color rgb="FF0070C0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sz val="8"/>
      <color rgb="FFFFFFFF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8"/>
      <name val="Calibri"/>
      <family val="2"/>
      <charset val="161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161"/>
    </font>
    <font>
      <i/>
      <sz val="8"/>
      <color rgb="FF000000"/>
      <name val="Calibri"/>
      <family val="2"/>
      <charset val="161"/>
    </font>
    <font>
      <b/>
      <i/>
      <sz val="8"/>
      <color rgb="FF000000"/>
      <name val="Calibri"/>
      <family val="2"/>
      <charset val="161"/>
    </font>
    <font>
      <i/>
      <sz val="8"/>
      <color rgb="FF000000"/>
      <name val="Arial"/>
      <family val="2"/>
      <charset val="161"/>
    </font>
    <font>
      <b/>
      <sz val="10"/>
      <color rgb="FFFFFFFF"/>
      <name val="Calibri"/>
      <family val="2"/>
      <charset val="161"/>
    </font>
    <font>
      <sz val="11"/>
      <color rgb="FF000000"/>
      <name val="Calibri"/>
    </font>
    <font>
      <i/>
      <sz val="11"/>
      <color rgb="FF000000"/>
      <name val="Calibri"/>
    </font>
    <font>
      <sz val="11"/>
      <color rgb="FF444444"/>
      <name val="Calibri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8D8D8"/>
      </patternFill>
    </fill>
    <fill>
      <patternFill patternType="solid">
        <fgColor rgb="FFDBE5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2" fillId="15" borderId="11" applyNumberFormat="0">
      <alignment horizontal="right" vertical="center"/>
    </xf>
    <xf numFmtId="4" fontId="23" fillId="16" borderId="15" applyNumberFormat="0" applyProtection="0">
      <alignment vertical="center"/>
    </xf>
    <xf numFmtId="4" fontId="24" fillId="17" borderId="15" applyNumberFormat="0" applyProtection="0">
      <alignment vertical="center"/>
    </xf>
    <xf numFmtId="4" fontId="23" fillId="17" borderId="15" applyNumberFormat="0" applyProtection="0">
      <alignment horizontal="left" vertical="center" indent="1"/>
    </xf>
    <xf numFmtId="0" fontId="23" fillId="17" borderId="15" applyNumberFormat="0" applyProtection="0">
      <alignment horizontal="left" vertical="top" indent="1"/>
    </xf>
    <xf numFmtId="0" fontId="25" fillId="18" borderId="16" applyNumberFormat="0" applyProtection="0">
      <alignment horizontal="left" vertical="center" indent="1"/>
    </xf>
    <xf numFmtId="4" fontId="26" fillId="19" borderId="15" applyNumberFormat="0" applyProtection="0">
      <alignment horizontal="right" vertical="center"/>
    </xf>
    <xf numFmtId="4" fontId="26" fillId="20" borderId="15" applyNumberFormat="0" applyProtection="0">
      <alignment horizontal="right" vertical="center"/>
    </xf>
    <xf numFmtId="4" fontId="26" fillId="21" borderId="15" applyNumberFormat="0" applyProtection="0">
      <alignment horizontal="right" vertical="center"/>
    </xf>
    <xf numFmtId="4" fontId="26" fillId="22" borderId="15" applyNumberFormat="0" applyProtection="0">
      <alignment horizontal="right" vertical="center"/>
    </xf>
    <xf numFmtId="4" fontId="26" fillId="23" borderId="15" applyNumberFormat="0" applyProtection="0">
      <alignment horizontal="right" vertical="center"/>
    </xf>
    <xf numFmtId="4" fontId="26" fillId="24" borderId="15" applyNumberFormat="0" applyProtection="0">
      <alignment horizontal="right" vertical="center"/>
    </xf>
    <xf numFmtId="4" fontId="26" fillId="25" borderId="15" applyNumberFormat="0" applyProtection="0">
      <alignment horizontal="right" vertical="center"/>
    </xf>
    <xf numFmtId="4" fontId="26" fillId="26" borderId="15" applyNumberFormat="0" applyProtection="0">
      <alignment horizontal="right" vertical="center"/>
    </xf>
    <xf numFmtId="4" fontId="26" fillId="27" borderId="15" applyNumberFormat="0" applyProtection="0">
      <alignment horizontal="right" vertical="center"/>
    </xf>
    <xf numFmtId="4" fontId="23" fillId="28" borderId="17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6" fillId="31" borderId="15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32" borderId="0" applyNumberFormat="0" applyProtection="0">
      <alignment horizontal="left" vertical="center" indent="1"/>
    </xf>
    <xf numFmtId="0" fontId="22" fillId="15" borderId="11" applyNumberFormat="0" applyProtection="0">
      <alignment horizontal="left" vertical="center" indent="1"/>
    </xf>
    <xf numFmtId="0" fontId="28" fillId="30" borderId="15" applyNumberFormat="0" applyProtection="0">
      <alignment horizontal="left" vertical="top" indent="1"/>
    </xf>
    <xf numFmtId="0" fontId="25" fillId="33" borderId="11">
      <alignment horizontal="left" vertical="center" indent="1"/>
    </xf>
    <xf numFmtId="0" fontId="28" fillId="32" borderId="15" applyNumberFormat="0" applyProtection="0">
      <alignment horizontal="left" vertical="top" indent="1"/>
    </xf>
    <xf numFmtId="0" fontId="25" fillId="32" borderId="11">
      <alignment horizontal="left" vertical="center" indent="1"/>
    </xf>
    <xf numFmtId="0" fontId="28" fillId="18" borderId="15" applyNumberFormat="0" applyProtection="0">
      <alignment horizontal="left" vertical="top" indent="1"/>
    </xf>
    <xf numFmtId="0" fontId="25" fillId="34" borderId="11" applyNumberFormat="0" applyProtection="0">
      <alignment horizontal="left" vertical="center" indent="1"/>
    </xf>
    <xf numFmtId="0" fontId="28" fillId="35" borderId="15" applyNumberFormat="0" applyProtection="0">
      <alignment horizontal="left" vertical="top" indent="1"/>
    </xf>
    <xf numFmtId="0" fontId="29" fillId="0" borderId="11">
      <alignment horizontal="left" vertical="center" indent="1"/>
    </xf>
    <xf numFmtId="0" fontId="25" fillId="17" borderId="11">
      <alignment horizontal="left" vertical="center" indent="1"/>
    </xf>
    <xf numFmtId="0" fontId="22" fillId="36" borderId="11">
      <alignment horizontal="left" vertical="center" indent="1"/>
    </xf>
    <xf numFmtId="4" fontId="26" fillId="37" borderId="15" applyNumberFormat="0" applyProtection="0">
      <alignment vertical="center"/>
    </xf>
    <xf numFmtId="4" fontId="30" fillId="37" borderId="15" applyNumberFormat="0" applyProtection="0">
      <alignment vertical="center"/>
    </xf>
    <xf numFmtId="4" fontId="26" fillId="37" borderId="15" applyNumberFormat="0" applyProtection="0">
      <alignment horizontal="left" vertical="center" indent="1"/>
    </xf>
    <xf numFmtId="0" fontId="26" fillId="37" borderId="15" applyNumberFormat="0" applyProtection="0">
      <alignment horizontal="left" vertical="top" indent="1"/>
    </xf>
    <xf numFmtId="4" fontId="26" fillId="29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26" fillId="31" borderId="15" applyNumberFormat="0" applyProtection="0">
      <alignment horizontal="left" vertical="center" indent="1"/>
    </xf>
    <xf numFmtId="0" fontId="25" fillId="18" borderId="16" applyNumberFormat="0" applyProtection="0">
      <alignment horizontal="left" vertical="top" wrapText="1" indent="1"/>
    </xf>
    <xf numFmtId="4" fontId="31" fillId="38" borderId="0" applyNumberFormat="0" applyProtection="0">
      <alignment horizontal="left" vertical="center" indent="1"/>
    </xf>
    <xf numFmtId="4" fontId="32" fillId="29" borderId="15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05">
    <xf numFmtId="0" fontId="0" fillId="0" borderId="0" xfId="0"/>
    <xf numFmtId="165" fontId="3" fillId="0" borderId="0" xfId="0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center" vertical="center"/>
      <protection locked="0"/>
    </xf>
    <xf numFmtId="1" fontId="7" fillId="4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165" fontId="1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5" fontId="3" fillId="4" borderId="0" xfId="0" applyNumberFormat="1" applyFont="1" applyFill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165" fontId="4" fillId="4" borderId="0" xfId="0" applyNumberFormat="1" applyFont="1" applyFill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4" fillId="4" borderId="1" xfId="0" applyNumberFormat="1" applyFont="1" applyFill="1" applyBorder="1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vertical="center"/>
      <protection locked="0"/>
    </xf>
    <xf numFmtId="165" fontId="3" fillId="4" borderId="1" xfId="0" applyNumberFormat="1" applyFont="1" applyFill="1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65" fontId="4" fillId="4" borderId="2" xfId="0" applyNumberFormat="1" applyFont="1" applyFill="1" applyBorder="1" applyAlignment="1" applyProtection="1">
      <alignment vertical="center"/>
      <protection locked="0"/>
    </xf>
    <xf numFmtId="165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165" fontId="3" fillId="6" borderId="0" xfId="0" applyNumberFormat="1" applyFont="1" applyFill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horizontal="right" vertical="center"/>
      <protection locked="0"/>
    </xf>
    <xf numFmtId="165" fontId="3" fillId="6" borderId="0" xfId="0" applyNumberFormat="1" applyFont="1" applyFill="1" applyAlignment="1" applyProtection="1">
      <alignment horizontal="right" vertical="center"/>
      <protection locked="0"/>
    </xf>
    <xf numFmtId="168" fontId="3" fillId="4" borderId="0" xfId="0" applyNumberFormat="1" applyFont="1" applyFill="1" applyAlignment="1" applyProtection="1">
      <alignment vertical="center"/>
      <protection locked="0"/>
    </xf>
    <xf numFmtId="168" fontId="3" fillId="0" borderId="0" xfId="0" applyNumberFormat="1" applyFont="1" applyAlignment="1" applyProtection="1">
      <alignment vertical="center"/>
      <protection locked="0"/>
    </xf>
    <xf numFmtId="9" fontId="3" fillId="4" borderId="0" xfId="0" applyNumberFormat="1" applyFont="1" applyFill="1" applyAlignment="1" applyProtection="1">
      <alignment horizontal="center" vertical="center"/>
      <protection locked="0"/>
    </xf>
    <xf numFmtId="1" fontId="3" fillId="4" borderId="0" xfId="0" applyNumberFormat="1" applyFont="1" applyFill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12" borderId="0" xfId="0" applyFont="1" applyFill="1" applyAlignment="1" applyProtection="1">
      <alignment vertical="center"/>
      <protection locked="0"/>
    </xf>
    <xf numFmtId="165" fontId="4" fillId="6" borderId="1" xfId="0" applyNumberFormat="1" applyFont="1" applyFill="1" applyBorder="1" applyAlignment="1" applyProtection="1">
      <alignment vertical="center"/>
      <protection locked="0"/>
    </xf>
    <xf numFmtId="0" fontId="16" fillId="8" borderId="0" xfId="0" applyFont="1" applyFill="1" applyAlignment="1" applyProtection="1">
      <alignment horizontal="right" vertical="center"/>
      <protection locked="0"/>
    </xf>
    <xf numFmtId="0" fontId="16" fillId="1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165" fontId="4" fillId="6" borderId="0" xfId="0" applyNumberFormat="1" applyFont="1" applyFill="1" applyAlignment="1" applyProtection="1">
      <alignment vertical="center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171" fontId="0" fillId="0" borderId="0" xfId="0" applyNumberFormat="1" applyAlignment="1">
      <alignment vertical="center"/>
    </xf>
    <xf numFmtId="165" fontId="18" fillId="0" borderId="0" xfId="0" applyNumberFormat="1" applyFont="1"/>
    <xf numFmtId="165" fontId="18" fillId="11" borderId="0" xfId="0" applyNumberFormat="1" applyFont="1" applyFill="1"/>
    <xf numFmtId="0" fontId="15" fillId="6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1" fontId="20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vertical="center"/>
      <protection locked="0"/>
    </xf>
    <xf numFmtId="0" fontId="12" fillId="39" borderId="18" xfId="0" applyFont="1" applyFill="1" applyBorder="1" applyAlignment="1" applyProtection="1">
      <alignment vertical="center"/>
      <protection locked="0"/>
    </xf>
    <xf numFmtId="0" fontId="12" fillId="40" borderId="19" xfId="0" applyFont="1" applyFill="1" applyBorder="1" applyAlignment="1" applyProtection="1">
      <alignment vertical="center"/>
      <protection locked="0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0" xfId="0" applyFont="1" applyAlignment="1" applyProtection="1">
      <alignment horizontal="righ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44" fontId="38" fillId="0" borderId="0" xfId="0" applyNumberFormat="1" applyFont="1" applyAlignment="1" applyProtection="1">
      <alignment vertical="center"/>
      <protection locked="0"/>
    </xf>
    <xf numFmtId="44" fontId="38" fillId="0" borderId="0" xfId="0" applyNumberFormat="1" applyFont="1" applyAlignment="1" applyProtection="1">
      <alignment horizontal="center" vertical="center"/>
      <protection locked="0"/>
    </xf>
    <xf numFmtId="0" fontId="38" fillId="0" borderId="0" xfId="0" applyFont="1" applyAlignment="1">
      <alignment vertical="center"/>
    </xf>
    <xf numFmtId="0" fontId="38" fillId="2" borderId="0" xfId="0" applyFont="1" applyFill="1" applyAlignment="1" applyProtection="1">
      <alignment vertical="center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8" fillId="7" borderId="13" xfId="0" applyFont="1" applyFill="1" applyBorder="1" applyAlignment="1">
      <alignment vertical="center"/>
    </xf>
    <xf numFmtId="169" fontId="37" fillId="7" borderId="11" xfId="3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right" vertical="center"/>
      <protection locked="0"/>
    </xf>
    <xf numFmtId="44" fontId="40" fillId="0" borderId="0" xfId="1" applyFont="1" applyAlignment="1">
      <alignment horizontal="center"/>
    </xf>
    <xf numFmtId="0" fontId="40" fillId="0" borderId="6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0" xfId="0" applyFont="1" applyAlignment="1" applyProtection="1">
      <alignment vertical="center"/>
      <protection locked="0"/>
    </xf>
    <xf numFmtId="169" fontId="38" fillId="12" borderId="21" xfId="0" applyNumberFormat="1" applyFont="1" applyFill="1" applyBorder="1" applyAlignment="1">
      <alignment horizontal="center" vertical="center"/>
    </xf>
    <xf numFmtId="9" fontId="38" fillId="12" borderId="22" xfId="0" applyNumberFormat="1" applyFont="1" applyFill="1" applyBorder="1" applyAlignment="1">
      <alignment horizontal="center"/>
    </xf>
    <xf numFmtId="169" fontId="38" fillId="12" borderId="6" xfId="0" applyNumberFormat="1" applyFont="1" applyFill="1" applyBorder="1" applyAlignment="1">
      <alignment horizontal="center" vertical="center"/>
    </xf>
    <xf numFmtId="9" fontId="38" fillId="12" borderId="12" xfId="0" applyNumberFormat="1" applyFont="1" applyFill="1" applyBorder="1" applyAlignment="1">
      <alignment horizontal="center"/>
    </xf>
    <xf numFmtId="165" fontId="37" fillId="0" borderId="0" xfId="0" applyNumberFormat="1" applyFont="1" applyAlignment="1" applyProtection="1">
      <alignment vertical="center"/>
      <protection locked="0"/>
    </xf>
    <xf numFmtId="169" fontId="38" fillId="12" borderId="7" xfId="0" applyNumberFormat="1" applyFont="1" applyFill="1" applyBorder="1" applyAlignment="1">
      <alignment horizontal="center" vertical="center"/>
    </xf>
    <xf numFmtId="9" fontId="38" fillId="12" borderId="13" xfId="0" applyNumberFormat="1" applyFont="1" applyFill="1" applyBorder="1" applyAlignment="1">
      <alignment horizontal="center"/>
    </xf>
    <xf numFmtId="169" fontId="38" fillId="8" borderId="21" xfId="0" applyNumberFormat="1" applyFont="1" applyFill="1" applyBorder="1" applyAlignment="1">
      <alignment horizontal="center"/>
    </xf>
    <xf numFmtId="9" fontId="38" fillId="8" borderId="22" xfId="0" applyNumberFormat="1" applyFont="1" applyFill="1" applyBorder="1" applyAlignment="1">
      <alignment horizontal="center"/>
    </xf>
    <xf numFmtId="169" fontId="38" fillId="8" borderId="6" xfId="0" applyNumberFormat="1" applyFont="1" applyFill="1" applyBorder="1" applyAlignment="1">
      <alignment horizontal="center"/>
    </xf>
    <xf numFmtId="9" fontId="38" fillId="8" borderId="12" xfId="0" applyNumberFormat="1" applyFont="1" applyFill="1" applyBorder="1" applyAlignment="1">
      <alignment horizontal="center"/>
    </xf>
    <xf numFmtId="0" fontId="38" fillId="8" borderId="7" xfId="0" applyFont="1" applyFill="1" applyBorder="1"/>
    <xf numFmtId="9" fontId="38" fillId="8" borderId="13" xfId="0" applyNumberFormat="1" applyFont="1" applyFill="1" applyBorder="1" applyAlignment="1">
      <alignment horizontal="center"/>
    </xf>
    <xf numFmtId="170" fontId="37" fillId="0" borderId="0" xfId="0" applyNumberFormat="1" applyFont="1" applyAlignment="1" applyProtection="1">
      <alignment vertical="center"/>
      <protection locked="0"/>
    </xf>
    <xf numFmtId="0" fontId="38" fillId="0" borderId="0" xfId="0" applyFont="1"/>
    <xf numFmtId="0" fontId="37" fillId="0" borderId="0" xfId="0" applyFont="1" applyAlignment="1" applyProtection="1">
      <alignment horizontal="center" vertical="center"/>
      <protection locked="0"/>
    </xf>
    <xf numFmtId="0" fontId="38" fillId="14" borderId="21" xfId="0" quotePrefix="1" applyFont="1" applyFill="1" applyBorder="1" applyAlignment="1">
      <alignment horizontal="center" vertical="center"/>
    </xf>
    <xf numFmtId="9" fontId="38" fillId="14" borderId="22" xfId="0" applyNumberFormat="1" applyFont="1" applyFill="1" applyBorder="1" applyAlignment="1">
      <alignment horizontal="center"/>
    </xf>
    <xf numFmtId="169" fontId="38" fillId="14" borderId="6" xfId="0" applyNumberFormat="1" applyFont="1" applyFill="1" applyBorder="1" applyAlignment="1">
      <alignment horizontal="center"/>
    </xf>
    <xf numFmtId="9" fontId="38" fillId="14" borderId="12" xfId="0" applyNumberFormat="1" applyFont="1" applyFill="1" applyBorder="1" applyAlignment="1">
      <alignment horizontal="center"/>
    </xf>
    <xf numFmtId="0" fontId="38" fillId="10" borderId="23" xfId="0" applyFont="1" applyFill="1" applyBorder="1"/>
    <xf numFmtId="9" fontId="38" fillId="10" borderId="24" xfId="0" applyNumberFormat="1" applyFont="1" applyFill="1" applyBorder="1" applyAlignment="1">
      <alignment horizontal="center"/>
    </xf>
    <xf numFmtId="169" fontId="38" fillId="0" borderId="0" xfId="0" applyNumberFormat="1" applyFont="1" applyAlignment="1" applyProtection="1">
      <alignment vertical="center"/>
      <protection locked="0"/>
    </xf>
    <xf numFmtId="167" fontId="40" fillId="40" borderId="21" xfId="0" applyNumberFormat="1" applyFont="1" applyFill="1" applyBorder="1" applyAlignment="1">
      <alignment horizontal="center" vertical="center"/>
    </xf>
    <xf numFmtId="0" fontId="38" fillId="40" borderId="22" xfId="0" applyFont="1" applyFill="1" applyBorder="1"/>
    <xf numFmtId="167" fontId="40" fillId="40" borderId="7" xfId="0" applyNumberFormat="1" applyFont="1" applyFill="1" applyBorder="1" applyAlignment="1">
      <alignment horizontal="center" vertical="center"/>
    </xf>
    <xf numFmtId="0" fontId="38" fillId="40" borderId="13" xfId="0" applyFont="1" applyFill="1" applyBorder="1"/>
    <xf numFmtId="0" fontId="38" fillId="40" borderId="8" xfId="0" applyFont="1" applyFill="1" applyBorder="1" applyAlignment="1">
      <alignment vertical="center"/>
    </xf>
    <xf numFmtId="0" fontId="38" fillId="40" borderId="13" xfId="0" applyFont="1" applyFill="1" applyBorder="1" applyAlignment="1">
      <alignment vertical="center"/>
    </xf>
    <xf numFmtId="44" fontId="42" fillId="12" borderId="21" xfId="1" applyFont="1" applyFill="1" applyBorder="1" applyAlignment="1">
      <alignment horizontal="right"/>
    </xf>
    <xf numFmtId="44" fontId="42" fillId="12" borderId="6" xfId="1" applyFont="1" applyFill="1" applyBorder="1" applyAlignment="1">
      <alignment horizontal="right"/>
    </xf>
    <xf numFmtId="44" fontId="42" fillId="12" borderId="7" xfId="1" applyFont="1" applyFill="1" applyBorder="1" applyAlignment="1">
      <alignment horizontal="right"/>
    </xf>
    <xf numFmtId="44" fontId="42" fillId="8" borderId="7" xfId="1" applyFont="1" applyFill="1" applyBorder="1" applyAlignment="1">
      <alignment horizontal="right"/>
    </xf>
    <xf numFmtId="44" fontId="42" fillId="8" borderId="8" xfId="1" applyFont="1" applyFill="1" applyBorder="1" applyAlignment="1">
      <alignment horizontal="right"/>
    </xf>
    <xf numFmtId="0" fontId="42" fillId="14" borderId="21" xfId="0" quotePrefix="1" applyFont="1" applyFill="1" applyBorder="1"/>
    <xf numFmtId="0" fontId="42" fillId="14" borderId="5" xfId="0" quotePrefix="1" applyFont="1" applyFill="1" applyBorder="1"/>
    <xf numFmtId="0" fontId="42" fillId="14" borderId="6" xfId="0" quotePrefix="1" applyFont="1" applyFill="1" applyBorder="1"/>
    <xf numFmtId="0" fontId="42" fillId="14" borderId="0" xfId="0" quotePrefix="1" applyFont="1" applyFill="1"/>
    <xf numFmtId="0" fontId="42" fillId="10" borderId="23" xfId="0" applyFont="1" applyFill="1" applyBorder="1"/>
    <xf numFmtId="44" fontId="40" fillId="40" borderId="21" xfId="1" applyFont="1" applyFill="1" applyBorder="1" applyAlignment="1">
      <alignment vertical="center" wrapText="1"/>
    </xf>
    <xf numFmtId="44" fontId="40" fillId="40" borderId="5" xfId="1" applyFont="1" applyFill="1" applyBorder="1" applyAlignment="1">
      <alignment vertical="center" wrapText="1"/>
    </xf>
    <xf numFmtId="44" fontId="40" fillId="40" borderId="7" xfId="1" applyFont="1" applyFill="1" applyBorder="1" applyAlignment="1">
      <alignment vertical="center" wrapText="1"/>
    </xf>
    <xf numFmtId="44" fontId="42" fillId="40" borderId="0" xfId="1" applyFont="1" applyFill="1" applyAlignment="1">
      <alignment horizontal="right"/>
    </xf>
    <xf numFmtId="169" fontId="38" fillId="40" borderId="6" xfId="0" applyNumberFormat="1" applyFont="1" applyFill="1" applyBorder="1" applyAlignment="1">
      <alignment horizontal="center"/>
    </xf>
    <xf numFmtId="9" fontId="38" fillId="40" borderId="12" xfId="0" applyNumberFormat="1" applyFont="1" applyFill="1" applyBorder="1" applyAlignment="1">
      <alignment horizontal="center"/>
    </xf>
    <xf numFmtId="44" fontId="42" fillId="12" borderId="5" xfId="1" applyFont="1" applyFill="1" applyBorder="1" applyAlignment="1">
      <alignment horizontal="right"/>
    </xf>
    <xf numFmtId="44" fontId="42" fillId="12" borderId="0" xfId="1" applyFont="1" applyFill="1" applyBorder="1" applyAlignment="1">
      <alignment horizontal="right"/>
    </xf>
    <xf numFmtId="44" fontId="42" fillId="12" borderId="8" xfId="1" applyFont="1" applyFill="1" applyBorder="1" applyAlignment="1">
      <alignment horizontal="right"/>
    </xf>
    <xf numFmtId="0" fontId="40" fillId="0" borderId="0" xfId="0" applyFont="1"/>
    <xf numFmtId="0" fontId="40" fillId="0" borderId="8" xfId="0" applyFont="1" applyBorder="1"/>
    <xf numFmtId="165" fontId="38" fillId="6" borderId="0" xfId="0" applyNumberFormat="1" applyFont="1" applyFill="1" applyAlignment="1">
      <alignment vertical="center"/>
    </xf>
    <xf numFmtId="166" fontId="38" fillId="6" borderId="0" xfId="0" applyNumberFormat="1" applyFont="1" applyFill="1" applyAlignment="1">
      <alignment vertical="center"/>
    </xf>
    <xf numFmtId="166" fontId="38" fillId="0" borderId="0" xfId="0" applyNumberFormat="1" applyFont="1" applyAlignment="1">
      <alignment vertical="center"/>
    </xf>
    <xf numFmtId="172" fontId="40" fillId="6" borderId="0" xfId="0" applyNumberFormat="1" applyFont="1" applyFill="1" applyAlignment="1">
      <alignment vertical="center"/>
    </xf>
    <xf numFmtId="0" fontId="40" fillId="0" borderId="25" xfId="0" applyFont="1" applyBorder="1"/>
    <xf numFmtId="170" fontId="40" fillId="6" borderId="25" xfId="0" applyNumberFormat="1" applyFont="1" applyFill="1" applyBorder="1" applyAlignment="1">
      <alignment vertical="center"/>
    </xf>
    <xf numFmtId="3" fontId="44" fillId="4" borderId="0" xfId="0" applyNumberFormat="1" applyFont="1" applyFill="1" applyAlignment="1" applyProtection="1">
      <alignment horizontal="center" vertical="center"/>
      <protection locked="0"/>
    </xf>
    <xf numFmtId="3" fontId="44" fillId="0" borderId="0" xfId="0" applyNumberFormat="1" applyFont="1" applyAlignment="1" applyProtection="1">
      <alignment horizontal="center" vertical="center"/>
      <protection locked="0"/>
    </xf>
    <xf numFmtId="9" fontId="42" fillId="6" borderId="0" xfId="0" applyNumberFormat="1" applyFont="1" applyFill="1" applyAlignment="1">
      <alignment vertical="center"/>
    </xf>
    <xf numFmtId="3" fontId="40" fillId="6" borderId="0" xfId="0" applyNumberFormat="1" applyFont="1" applyFill="1" applyAlignment="1">
      <alignment vertical="center"/>
    </xf>
    <xf numFmtId="9" fontId="42" fillId="6" borderId="0" xfId="5" applyFont="1" applyFill="1" applyAlignment="1">
      <alignment vertical="center"/>
    </xf>
    <xf numFmtId="9" fontId="42" fillId="0" borderId="0" xfId="5" applyFont="1" applyFill="1" applyAlignment="1">
      <alignment vertical="center"/>
    </xf>
    <xf numFmtId="3" fontId="42" fillId="6" borderId="0" xfId="0" applyNumberFormat="1" applyFont="1" applyFill="1" applyAlignment="1">
      <alignment vertical="center"/>
    </xf>
    <xf numFmtId="169" fontId="42" fillId="6" borderId="0" xfId="0" applyNumberFormat="1" applyFont="1" applyFill="1" applyAlignment="1">
      <alignment vertical="center"/>
    </xf>
    <xf numFmtId="172" fontId="40" fillId="6" borderId="8" xfId="0" applyNumberFormat="1" applyFont="1" applyFill="1" applyBorder="1" applyAlignment="1">
      <alignment vertical="center"/>
    </xf>
    <xf numFmtId="170" fontId="40" fillId="6" borderId="0" xfId="0" applyNumberFormat="1" applyFont="1" applyFill="1" applyAlignment="1">
      <alignment vertical="center"/>
    </xf>
    <xf numFmtId="0" fontId="45" fillId="0" borderId="0" xfId="0" applyFont="1"/>
    <xf numFmtId="170" fontId="46" fillId="6" borderId="8" xfId="0" applyNumberFormat="1" applyFont="1" applyFill="1" applyBorder="1" applyAlignment="1">
      <alignment vertical="center"/>
    </xf>
    <xf numFmtId="172" fontId="45" fillId="6" borderId="0" xfId="0" applyNumberFormat="1" applyFont="1" applyFill="1" applyAlignment="1">
      <alignment vertical="center"/>
    </xf>
    <xf numFmtId="9" fontId="42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169" fontId="42" fillId="0" borderId="0" xfId="0" applyNumberFormat="1" applyFont="1" applyAlignment="1">
      <alignment vertical="center"/>
    </xf>
    <xf numFmtId="172" fontId="40" fillId="0" borderId="0" xfId="0" applyNumberFormat="1" applyFont="1" applyAlignment="1">
      <alignment vertical="center"/>
    </xf>
    <xf numFmtId="172" fontId="40" fillId="0" borderId="8" xfId="0" applyNumberFormat="1" applyFont="1" applyBorder="1" applyAlignment="1">
      <alignment vertical="center"/>
    </xf>
    <xf numFmtId="170" fontId="40" fillId="0" borderId="0" xfId="0" applyNumberFormat="1" applyFont="1" applyAlignment="1">
      <alignment vertical="center"/>
    </xf>
    <xf numFmtId="170" fontId="46" fillId="0" borderId="0" xfId="0" applyNumberFormat="1" applyFont="1" applyAlignment="1">
      <alignment vertical="center"/>
    </xf>
    <xf numFmtId="170" fontId="46" fillId="0" borderId="8" xfId="0" applyNumberFormat="1" applyFont="1" applyBorder="1" applyAlignment="1">
      <alignment vertical="center"/>
    </xf>
    <xf numFmtId="165" fontId="38" fillId="0" borderId="0" xfId="0" applyNumberFormat="1" applyFont="1" applyAlignment="1">
      <alignment vertical="center"/>
    </xf>
    <xf numFmtId="172" fontId="45" fillId="0" borderId="0" xfId="0" applyNumberFormat="1" applyFont="1" applyAlignment="1">
      <alignment vertical="center"/>
    </xf>
    <xf numFmtId="170" fontId="40" fillId="0" borderId="25" xfId="0" applyNumberFormat="1" applyFont="1" applyBorder="1" applyAlignment="1">
      <alignment vertical="center"/>
    </xf>
    <xf numFmtId="0" fontId="20" fillId="11" borderId="0" xfId="0" applyFont="1" applyFill="1" applyAlignment="1">
      <alignment vertical="center"/>
    </xf>
    <xf numFmtId="166" fontId="38" fillId="0" borderId="0" xfId="0" applyNumberFormat="1" applyFont="1" applyAlignment="1" applyProtection="1">
      <alignment vertical="center"/>
      <protection locked="0"/>
    </xf>
    <xf numFmtId="166" fontId="38" fillId="0" borderId="0" xfId="0" applyNumberFormat="1" applyFont="1" applyAlignment="1" applyProtection="1">
      <alignment horizontal="center" vertical="center"/>
      <protection locked="0"/>
    </xf>
    <xf numFmtId="44" fontId="37" fillId="40" borderId="11" xfId="3" applyFont="1" applyFill="1" applyBorder="1" applyAlignment="1" applyProtection="1">
      <alignment horizontal="center" vertical="center"/>
      <protection locked="0"/>
    </xf>
    <xf numFmtId="166" fontId="37" fillId="40" borderId="11" xfId="2" applyNumberFormat="1" applyFont="1" applyFill="1" applyBorder="1" applyAlignment="1" applyProtection="1">
      <alignment horizontal="center" vertical="center"/>
      <protection locked="0"/>
    </xf>
    <xf numFmtId="164" fontId="46" fillId="0" borderId="0" xfId="0" applyNumberFormat="1" applyFont="1" applyAlignment="1">
      <alignment vertical="center"/>
    </xf>
    <xf numFmtId="9" fontId="37" fillId="7" borderId="11" xfId="2" applyFont="1" applyFill="1" applyBorder="1" applyAlignment="1" applyProtection="1">
      <alignment horizontal="center" vertical="center"/>
      <protection locked="0"/>
    </xf>
    <xf numFmtId="165" fontId="10" fillId="39" borderId="14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165" fontId="4" fillId="4" borderId="0" xfId="0" applyNumberFormat="1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165" fontId="10" fillId="40" borderId="20" xfId="0" applyNumberFormat="1" applyFont="1" applyFill="1" applyBorder="1" applyAlignment="1" applyProtection="1">
      <alignment horizontal="center" vertical="center"/>
      <protection locked="0"/>
    </xf>
    <xf numFmtId="0" fontId="12" fillId="40" borderId="29" xfId="0" applyFont="1" applyFill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44" fillId="40" borderId="0" xfId="0" applyFont="1" applyFill="1" applyAlignment="1">
      <alignment horizontal="right"/>
    </xf>
    <xf numFmtId="170" fontId="44" fillId="40" borderId="0" xfId="0" applyNumberFormat="1" applyFont="1" applyFill="1" applyAlignment="1">
      <alignment vertical="center"/>
    </xf>
    <xf numFmtId="0" fontId="47" fillId="7" borderId="0" xfId="0" applyFont="1" applyFill="1" applyAlignment="1">
      <alignment horizontal="right" vertical="center"/>
    </xf>
    <xf numFmtId="170" fontId="47" fillId="7" borderId="0" xfId="0" applyNumberFormat="1" applyFont="1" applyFill="1" applyAlignment="1">
      <alignment horizontal="right" vertical="center"/>
    </xf>
    <xf numFmtId="0" fontId="48" fillId="0" borderId="29" xfId="0" applyFont="1" applyBorder="1" applyAlignment="1">
      <alignment vertical="center"/>
    </xf>
    <xf numFmtId="170" fontId="48" fillId="0" borderId="30" xfId="0" applyNumberFormat="1" applyFont="1" applyBorder="1" applyAlignment="1">
      <alignment vertical="center"/>
    </xf>
    <xf numFmtId="170" fontId="48" fillId="0" borderId="31" xfId="0" applyNumberFormat="1" applyFont="1" applyBorder="1" applyAlignment="1">
      <alignment vertical="center"/>
    </xf>
    <xf numFmtId="0" fontId="47" fillId="7" borderId="28" xfId="0" applyFont="1" applyFill="1" applyBorder="1" applyAlignment="1">
      <alignment horizontal="right" vertical="center"/>
    </xf>
    <xf numFmtId="170" fontId="47" fillId="7" borderId="26" xfId="0" applyNumberFormat="1" applyFont="1" applyFill="1" applyBorder="1" applyAlignment="1">
      <alignment horizontal="right" vertical="center"/>
    </xf>
    <xf numFmtId="0" fontId="44" fillId="40" borderId="34" xfId="0" applyFont="1" applyFill="1" applyBorder="1" applyAlignment="1">
      <alignment horizontal="right"/>
    </xf>
    <xf numFmtId="170" fontId="44" fillId="40" borderId="35" xfId="0" applyNumberFormat="1" applyFont="1" applyFill="1" applyBorder="1" applyAlignment="1">
      <alignment vertical="center"/>
    </xf>
    <xf numFmtId="170" fontId="44" fillId="40" borderId="36" xfId="0" applyNumberFormat="1" applyFont="1" applyFill="1" applyBorder="1" applyAlignment="1">
      <alignment vertical="center"/>
    </xf>
    <xf numFmtId="0" fontId="49" fillId="3" borderId="0" xfId="0" applyFont="1" applyFill="1" applyAlignment="1" applyProtection="1">
      <alignment vertical="center" wrapText="1"/>
      <protection locked="0"/>
    </xf>
    <xf numFmtId="165" fontId="50" fillId="0" borderId="0" xfId="0" applyNumberFormat="1" applyFont="1" applyAlignment="1" applyProtection="1">
      <alignment vertical="center"/>
      <protection locked="0"/>
    </xf>
    <xf numFmtId="165" fontId="51" fillId="0" borderId="0" xfId="0" applyNumberFormat="1" applyFont="1" applyAlignment="1">
      <alignment vertical="center"/>
    </xf>
    <xf numFmtId="165" fontId="51" fillId="0" borderId="25" xfId="0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165" fontId="50" fillId="4" borderId="0" xfId="0" applyNumberFormat="1" applyFont="1" applyFill="1" applyAlignment="1" applyProtection="1">
      <alignment vertical="center"/>
      <protection locked="0"/>
    </xf>
    <xf numFmtId="165" fontId="3" fillId="0" borderId="0" xfId="0" applyNumberFormat="1" applyFont="1" applyAlignment="1">
      <alignment vertical="center"/>
    </xf>
    <xf numFmtId="165" fontId="3" fillId="4" borderId="0" xfId="0" applyNumberFormat="1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9" fontId="0" fillId="0" borderId="0" xfId="2" applyFont="1" applyAlignment="1">
      <alignment vertical="center"/>
    </xf>
    <xf numFmtId="166" fontId="0" fillId="0" borderId="0" xfId="2" applyNumberFormat="1" applyFont="1" applyAlignment="1">
      <alignment vertical="center"/>
    </xf>
    <xf numFmtId="165" fontId="38" fillId="0" borderId="0" xfId="0" applyNumberFormat="1" applyFont="1" applyAlignment="1" applyProtection="1">
      <alignment vertical="center"/>
      <protection locked="0"/>
    </xf>
    <xf numFmtId="165" fontId="38" fillId="4" borderId="0" xfId="0" applyNumberFormat="1" applyFont="1" applyFill="1" applyAlignment="1" applyProtection="1">
      <alignment vertical="center"/>
      <protection locked="0"/>
    </xf>
    <xf numFmtId="166" fontId="54" fillId="0" borderId="0" xfId="2" applyNumberFormat="1" applyFont="1" applyAlignment="1" applyProtection="1">
      <alignment horizontal="center" vertical="center"/>
      <protection locked="0"/>
    </xf>
    <xf numFmtId="166" fontId="54" fillId="4" borderId="0" xfId="2" applyNumberFormat="1" applyFont="1" applyFill="1" applyAlignment="1" applyProtection="1">
      <alignment horizontal="center" vertical="center"/>
      <protection locked="0"/>
    </xf>
    <xf numFmtId="3" fontId="0" fillId="0" borderId="0" xfId="0" applyNumberFormat="1" applyAlignment="1">
      <alignment vertical="center"/>
    </xf>
    <xf numFmtId="166" fontId="3" fillId="0" borderId="0" xfId="0" applyNumberFormat="1" applyFont="1" applyAlignment="1" applyProtection="1">
      <alignment horizontal="center" vertical="center"/>
      <protection locked="0"/>
    </xf>
    <xf numFmtId="166" fontId="3" fillId="0" borderId="26" xfId="0" applyNumberFormat="1" applyFont="1" applyBorder="1" applyAlignment="1" applyProtection="1">
      <alignment horizontal="center" vertical="center"/>
      <protection locked="0"/>
    </xf>
    <xf numFmtId="166" fontId="3" fillId="4" borderId="0" xfId="0" applyNumberFormat="1" applyFont="1" applyFill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 textRotation="90"/>
    </xf>
    <xf numFmtId="0" fontId="3" fillId="41" borderId="9" xfId="0" applyFont="1" applyFill="1" applyBorder="1" applyAlignment="1" applyProtection="1">
      <alignment vertical="center"/>
      <protection locked="0"/>
    </xf>
    <xf numFmtId="0" fontId="3" fillId="41" borderId="0" xfId="0" applyFont="1" applyFill="1" applyAlignment="1" applyProtection="1">
      <alignment vertical="center"/>
      <protection locked="0"/>
    </xf>
    <xf numFmtId="0" fontId="3" fillId="41" borderId="6" xfId="0" applyFont="1" applyFill="1" applyBorder="1" applyAlignment="1" applyProtection="1">
      <alignment vertical="center"/>
      <protection locked="0"/>
    </xf>
    <xf numFmtId="0" fontId="38" fillId="0" borderId="11" xfId="0" applyFont="1" applyBorder="1" applyAlignment="1">
      <alignment horizontal="center" vertical="center" textRotation="90"/>
    </xf>
    <xf numFmtId="44" fontId="42" fillId="40" borderId="0" xfId="1" applyFont="1" applyFill="1" applyBorder="1" applyAlignment="1">
      <alignment horizontal="right"/>
    </xf>
    <xf numFmtId="0" fontId="42" fillId="10" borderId="25" xfId="0" applyFont="1" applyFill="1" applyBorder="1"/>
    <xf numFmtId="0" fontId="38" fillId="0" borderId="37" xfId="0" applyFont="1" applyBorder="1" applyAlignment="1">
      <alignment vertical="center"/>
    </xf>
    <xf numFmtId="0" fontId="38" fillId="0" borderId="38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20" fillId="0" borderId="46" xfId="0" applyFont="1" applyBorder="1" applyAlignment="1">
      <alignment vertical="center"/>
    </xf>
    <xf numFmtId="167" fontId="3" fillId="0" borderId="0" xfId="0" applyNumberFormat="1" applyFont="1" applyAlignment="1" applyProtection="1">
      <alignment horizontal="right" vertical="center"/>
      <protection locked="0"/>
    </xf>
    <xf numFmtId="167" fontId="3" fillId="4" borderId="0" xfId="0" applyNumberFormat="1" applyFont="1" applyFill="1" applyAlignment="1" applyProtection="1">
      <alignment horizontal="right" vertical="center"/>
      <protection locked="0"/>
    </xf>
    <xf numFmtId="9" fontId="55" fillId="0" borderId="0" xfId="2" applyFont="1" applyBorder="1" applyAlignment="1" applyProtection="1">
      <alignment vertical="center"/>
    </xf>
    <xf numFmtId="9" fontId="56" fillId="0" borderId="0" xfId="2" applyFont="1" applyBorder="1" applyAlignment="1" applyProtection="1">
      <alignment vertical="center"/>
      <protection locked="0"/>
    </xf>
    <xf numFmtId="0" fontId="57" fillId="0" borderId="0" xfId="0" applyFont="1" applyAlignment="1">
      <alignment vertical="center"/>
    </xf>
    <xf numFmtId="9" fontId="55" fillId="4" borderId="0" xfId="2" applyFont="1" applyFill="1" applyBorder="1" applyAlignment="1" applyProtection="1">
      <alignment vertical="center"/>
    </xf>
    <xf numFmtId="9" fontId="55" fillId="4" borderId="1" xfId="2" applyFont="1" applyFill="1" applyBorder="1" applyAlignment="1" applyProtection="1">
      <alignment vertical="center"/>
    </xf>
    <xf numFmtId="165" fontId="56" fillId="4" borderId="0" xfId="0" applyNumberFormat="1" applyFont="1" applyFill="1" applyAlignment="1" applyProtection="1">
      <alignment vertical="center"/>
      <protection locked="0"/>
    </xf>
    <xf numFmtId="0" fontId="57" fillId="6" borderId="0" xfId="0" applyFont="1" applyFill="1" applyAlignment="1">
      <alignment vertical="center"/>
    </xf>
    <xf numFmtId="9" fontId="55" fillId="0" borderId="1" xfId="2" applyFont="1" applyBorder="1" applyAlignment="1" applyProtection="1">
      <alignment vertical="center"/>
    </xf>
    <xf numFmtId="165" fontId="56" fillId="0" borderId="0" xfId="0" applyNumberFormat="1" applyFont="1" applyAlignment="1" applyProtection="1">
      <alignment vertical="center"/>
      <protection locked="0"/>
    </xf>
    <xf numFmtId="0" fontId="58" fillId="3" borderId="0" xfId="0" applyFont="1" applyFill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12" fillId="8" borderId="29" xfId="0" applyFont="1" applyFill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165" fontId="19" fillId="11" borderId="25" xfId="0" applyNumberFormat="1" applyFont="1" applyFill="1" applyBorder="1"/>
    <xf numFmtId="165" fontId="19" fillId="0" borderId="25" xfId="0" applyNumberFormat="1" applyFont="1" applyBorder="1"/>
    <xf numFmtId="3" fontId="3" fillId="4" borderId="0" xfId="0" applyNumberFormat="1" applyFont="1" applyFill="1" applyAlignment="1" applyProtection="1">
      <alignment horizontal="center" vertical="center"/>
      <protection locked="0"/>
    </xf>
    <xf numFmtId="165" fontId="3" fillId="0" borderId="26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3" fontId="3" fillId="6" borderId="0" xfId="0" applyNumberFormat="1" applyFont="1" applyFill="1" applyAlignment="1" applyProtection="1">
      <alignment horizontal="center" vertical="center"/>
      <protection locked="0"/>
    </xf>
    <xf numFmtId="3" fontId="3" fillId="0" borderId="26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4" fillId="4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33" xfId="0" applyNumberFormat="1" applyFont="1" applyBorder="1" applyAlignment="1" applyProtection="1">
      <alignment horizontal="center" vertical="center"/>
      <protection locked="0"/>
    </xf>
    <xf numFmtId="166" fontId="4" fillId="0" borderId="35" xfId="0" applyNumberFormat="1" applyFont="1" applyBorder="1" applyAlignment="1" applyProtection="1">
      <alignment horizontal="center" vertical="center"/>
      <protection locked="0"/>
    </xf>
    <xf numFmtId="165" fontId="4" fillId="0" borderId="35" xfId="0" applyNumberFormat="1" applyFont="1" applyBorder="1" applyAlignment="1" applyProtection="1">
      <alignment horizontal="center" vertical="center"/>
      <protection locked="0"/>
    </xf>
    <xf numFmtId="165" fontId="4" fillId="0" borderId="36" xfId="0" applyNumberFormat="1" applyFont="1" applyBorder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right" vertical="center"/>
      <protection locked="0"/>
    </xf>
    <xf numFmtId="166" fontId="4" fillId="11" borderId="0" xfId="0" applyNumberFormat="1" applyFont="1" applyFill="1" applyAlignment="1" applyProtection="1">
      <alignment horizontal="center" vertical="center"/>
      <protection locked="0"/>
    </xf>
    <xf numFmtId="165" fontId="4" fillId="11" borderId="0" xfId="0" applyNumberFormat="1" applyFont="1" applyFill="1" applyAlignment="1" applyProtection="1">
      <alignment horizontal="center" vertical="center"/>
      <protection locked="0"/>
    </xf>
    <xf numFmtId="166" fontId="4" fillId="0" borderId="0" xfId="0" applyNumberFormat="1" applyFont="1" applyAlignment="1" applyProtection="1">
      <alignment horizontal="center" vertical="center"/>
      <protection locked="0"/>
    </xf>
    <xf numFmtId="3" fontId="4" fillId="5" borderId="10" xfId="0" applyNumberFormat="1" applyFont="1" applyFill="1" applyBorder="1" applyAlignment="1" applyProtection="1">
      <alignment horizontal="center" vertical="center"/>
      <protection locked="0"/>
    </xf>
    <xf numFmtId="3" fontId="4" fillId="5" borderId="3" xfId="0" applyNumberFormat="1" applyFont="1" applyFill="1" applyBorder="1" applyAlignment="1" applyProtection="1">
      <alignment horizontal="center" vertical="center"/>
      <protection locked="0"/>
    </xf>
    <xf numFmtId="3" fontId="4" fillId="5" borderId="4" xfId="0" applyNumberFormat="1" applyFont="1" applyFill="1" applyBorder="1" applyAlignment="1" applyProtection="1">
      <alignment horizontal="center" vertical="center"/>
      <protection locked="0"/>
    </xf>
    <xf numFmtId="166" fontId="4" fillId="5" borderId="10" xfId="0" applyNumberFormat="1" applyFont="1" applyFill="1" applyBorder="1" applyAlignment="1" applyProtection="1">
      <alignment horizontal="center" vertical="center"/>
      <protection locked="0"/>
    </xf>
    <xf numFmtId="166" fontId="4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8" fillId="7" borderId="21" xfId="0" applyFont="1" applyFill="1" applyBorder="1" applyAlignment="1" applyProtection="1">
      <alignment horizontal="right" vertical="center"/>
      <protection locked="0"/>
    </xf>
    <xf numFmtId="0" fontId="38" fillId="40" borderId="21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12" fillId="40" borderId="30" xfId="0" applyNumberFormat="1" applyFont="1" applyFill="1" applyBorder="1" applyAlignment="1" applyProtection="1">
      <alignment horizontal="center" vertical="center"/>
      <protection locked="0"/>
    </xf>
    <xf numFmtId="165" fontId="12" fillId="40" borderId="3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165" fontId="12" fillId="8" borderId="30" xfId="0" applyNumberFormat="1" applyFont="1" applyFill="1" applyBorder="1" applyAlignment="1" applyProtection="1">
      <alignment horizontal="center" vertical="center"/>
      <protection locked="0"/>
    </xf>
    <xf numFmtId="165" fontId="12" fillId="8" borderId="3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16" xfId="0" applyFont="1" applyBorder="1" applyAlignment="1">
      <alignment horizontal="center" vertical="center" textRotation="90"/>
    </xf>
    <xf numFmtId="0" fontId="38" fillId="0" borderId="37" xfId="0" applyFont="1" applyBorder="1" applyAlignment="1">
      <alignment horizontal="center" vertical="center" textRotation="90"/>
    </xf>
    <xf numFmtId="0" fontId="38" fillId="0" borderId="38" xfId="0" applyFont="1" applyBorder="1" applyAlignment="1">
      <alignment horizontal="center" vertical="center" textRotation="90"/>
    </xf>
    <xf numFmtId="0" fontId="38" fillId="0" borderId="16" xfId="0" applyFont="1" applyBorder="1" applyAlignment="1" applyProtection="1">
      <alignment horizontal="center" vertical="center" textRotation="90"/>
      <protection locked="0"/>
    </xf>
    <xf numFmtId="0" fontId="38" fillId="0" borderId="37" xfId="0" applyFont="1" applyBorder="1" applyAlignment="1" applyProtection="1">
      <alignment horizontal="center" vertical="center" textRotation="90"/>
      <protection locked="0"/>
    </xf>
    <xf numFmtId="0" fontId="38" fillId="0" borderId="38" xfId="0" applyFont="1" applyBorder="1" applyAlignment="1" applyProtection="1">
      <alignment horizontal="center" vertical="center" textRotation="90"/>
      <protection locked="0"/>
    </xf>
    <xf numFmtId="0" fontId="38" fillId="0" borderId="16" xfId="0" applyFont="1" applyBorder="1" applyAlignment="1">
      <alignment horizontal="center" vertical="center" textRotation="90" wrapText="1"/>
    </xf>
    <xf numFmtId="0" fontId="38" fillId="0" borderId="38" xfId="0" applyFont="1" applyBorder="1" applyAlignment="1">
      <alignment horizontal="center" vertical="center" textRotation="90" wrapText="1"/>
    </xf>
    <xf numFmtId="0" fontId="40" fillId="40" borderId="1" xfId="0" applyFont="1" applyFill="1" applyBorder="1" applyAlignment="1" applyProtection="1">
      <alignment horizontal="left" vertical="center"/>
      <protection locked="0"/>
    </xf>
    <xf numFmtId="0" fontId="40" fillId="13" borderId="28" xfId="0" applyFont="1" applyFill="1" applyBorder="1" applyAlignment="1">
      <alignment horizontal="center"/>
    </xf>
    <xf numFmtId="0" fontId="40" fillId="13" borderId="0" xfId="0" applyFont="1" applyFill="1" applyAlignment="1">
      <alignment horizontal="center"/>
    </xf>
    <xf numFmtId="0" fontId="40" fillId="13" borderId="12" xfId="0" applyFont="1" applyFill="1" applyBorder="1" applyAlignment="1">
      <alignment horizontal="center"/>
    </xf>
    <xf numFmtId="0" fontId="38" fillId="0" borderId="12" xfId="0" applyFont="1" applyBorder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37" fillId="0" borderId="0" xfId="0" applyFont="1" applyAlignment="1" applyProtection="1">
      <alignment horizontal="center" vertical="center"/>
      <protection locked="0"/>
    </xf>
    <xf numFmtId="0" fontId="40" fillId="13" borderId="21" xfId="0" applyFont="1" applyFill="1" applyBorder="1" applyAlignment="1">
      <alignment horizontal="center"/>
    </xf>
    <xf numFmtId="0" fontId="40" fillId="13" borderId="27" xfId="0" applyFont="1" applyFill="1" applyBorder="1" applyAlignment="1">
      <alignment horizontal="center"/>
    </xf>
    <xf numFmtId="0" fontId="38" fillId="0" borderId="12" xfId="0" applyFont="1" applyBorder="1" applyAlignment="1" applyProtection="1">
      <alignment horizontal="center" vertical="center" textRotation="90"/>
      <protection locked="0"/>
    </xf>
    <xf numFmtId="0" fontId="38" fillId="0" borderId="12" xfId="0" applyFont="1" applyBorder="1" applyAlignment="1">
      <alignment horizontal="center" vertical="center" textRotation="90" wrapText="1"/>
    </xf>
    <xf numFmtId="0" fontId="40" fillId="7" borderId="1" xfId="0" applyFont="1" applyFill="1" applyBorder="1" applyAlignment="1" applyProtection="1">
      <alignment horizontal="left" vertical="center"/>
      <protection locked="0"/>
    </xf>
    <xf numFmtId="0" fontId="61" fillId="0" borderId="0" xfId="0" applyFont="1"/>
    <xf numFmtId="0" fontId="45" fillId="42" borderId="8" xfId="0" applyFont="1" applyFill="1" applyBorder="1"/>
    <xf numFmtId="0" fontId="40" fillId="42" borderId="0" xfId="0" applyFont="1" applyFill="1"/>
  </cellXfs>
  <cellStyles count="57">
    <cellStyle name="Comma 2" xfId="6" xr:uid="{00000000-0005-0000-0000-000001000000}"/>
    <cellStyle name="Currency" xfId="3" builtinId="4"/>
    <cellStyle name="Currency 2" xfId="1" xr:uid="{00000000-0005-0000-0000-000003000000}"/>
    <cellStyle name="Followed Hyperlink" xfId="54" builtinId="9" hidden="1"/>
    <cellStyle name="Followed Hyperlink" xfId="56" builtinId="9" hidden="1"/>
    <cellStyle name="Followed Hyperlink" xfId="52" builtinId="9" hidden="1"/>
    <cellStyle name="Followed Hyperlink" xfId="50" builtinId="9" hidden="1"/>
    <cellStyle name="Hyperlink" xfId="55" builtinId="8" hidden="1"/>
    <cellStyle name="Hyperlink" xfId="53" builtinId="8" hidden="1"/>
    <cellStyle name="Hyperlink" xfId="51" builtinId="8" hidden="1"/>
    <cellStyle name="Hyperlink" xfId="49" builtinId="8" hidden="1"/>
    <cellStyle name="Normal" xfId="0" builtinId="0"/>
    <cellStyle name="Normal 2" xfId="4" xr:uid="{00000000-0005-0000-0000-00000D000000}"/>
    <cellStyle name="Percent" xfId="2" builtinId="5"/>
    <cellStyle name="Percent 2" xfId="5" xr:uid="{00000000-0005-0000-0000-00000F000000}"/>
    <cellStyle name="pl_SAPBEXHLevel0_data" xfId="7" xr:uid="{00000000-0005-0000-0000-000010000000}"/>
    <cellStyle name="SAPBEXaggData" xfId="8" xr:uid="{00000000-0005-0000-0000-000011000000}"/>
    <cellStyle name="SAPBEXaggDataEmph" xfId="9" xr:uid="{00000000-0005-0000-0000-000012000000}"/>
    <cellStyle name="SAPBEXaggItem" xfId="10" xr:uid="{00000000-0005-0000-0000-000013000000}"/>
    <cellStyle name="SAPBEXaggItemX" xfId="11" xr:uid="{00000000-0005-0000-0000-000014000000}"/>
    <cellStyle name="SAPBEXchaText" xfId="12" xr:uid="{00000000-0005-0000-0000-000015000000}"/>
    <cellStyle name="SAPBEXexcBad7" xfId="13" xr:uid="{00000000-0005-0000-0000-000016000000}"/>
    <cellStyle name="SAPBEXexcBad8" xfId="14" xr:uid="{00000000-0005-0000-0000-000017000000}"/>
    <cellStyle name="SAPBEXexcBad9" xfId="15" xr:uid="{00000000-0005-0000-0000-000018000000}"/>
    <cellStyle name="SAPBEXexcCritical4" xfId="16" xr:uid="{00000000-0005-0000-0000-000019000000}"/>
    <cellStyle name="SAPBEXexcCritical5" xfId="17" xr:uid="{00000000-0005-0000-0000-00001A000000}"/>
    <cellStyle name="SAPBEXexcCritical6" xfId="18" xr:uid="{00000000-0005-0000-0000-00001B000000}"/>
    <cellStyle name="SAPBEXexcGood1" xfId="19" xr:uid="{00000000-0005-0000-0000-00001C000000}"/>
    <cellStyle name="SAPBEXexcGood2" xfId="20" xr:uid="{00000000-0005-0000-0000-00001D000000}"/>
    <cellStyle name="SAPBEXexcGood3" xfId="21" xr:uid="{00000000-0005-0000-0000-00001E000000}"/>
    <cellStyle name="SAPBEXfilterDrill" xfId="22" xr:uid="{00000000-0005-0000-0000-00001F000000}"/>
    <cellStyle name="SAPBEXfilterItem" xfId="23" xr:uid="{00000000-0005-0000-0000-000020000000}"/>
    <cellStyle name="SAPBEXfilterText" xfId="24" xr:uid="{00000000-0005-0000-0000-000021000000}"/>
    <cellStyle name="SAPBEXformats" xfId="25" xr:uid="{00000000-0005-0000-0000-000022000000}"/>
    <cellStyle name="SAPBEXheaderItem" xfId="26" xr:uid="{00000000-0005-0000-0000-000023000000}"/>
    <cellStyle name="SAPBEXheaderText" xfId="27" xr:uid="{00000000-0005-0000-0000-000024000000}"/>
    <cellStyle name="SAPBEXHLevel0" xfId="28" xr:uid="{00000000-0005-0000-0000-000025000000}"/>
    <cellStyle name="SAPBEXHLevel0X" xfId="29" xr:uid="{00000000-0005-0000-0000-000026000000}"/>
    <cellStyle name="SAPBEXHLevel1" xfId="30" xr:uid="{00000000-0005-0000-0000-000027000000}"/>
    <cellStyle name="SAPBEXHLevel1X" xfId="31" xr:uid="{00000000-0005-0000-0000-000028000000}"/>
    <cellStyle name="SAPBEXHLevel2" xfId="32" xr:uid="{00000000-0005-0000-0000-000029000000}"/>
    <cellStyle name="SAPBEXHLevel2X" xfId="33" xr:uid="{00000000-0005-0000-0000-00002A000000}"/>
    <cellStyle name="SAPBEXHLevel3" xfId="34" xr:uid="{00000000-0005-0000-0000-00002B000000}"/>
    <cellStyle name="SAPBEXHLevel3X" xfId="35" xr:uid="{00000000-0005-0000-0000-00002C000000}"/>
    <cellStyle name="SAPBEXHLevel4" xfId="36" xr:uid="{00000000-0005-0000-0000-00002D000000}"/>
    <cellStyle name="SAPBEXHLevel5" xfId="37" xr:uid="{00000000-0005-0000-0000-00002E000000}"/>
    <cellStyle name="SAPBEXHLevelextra_total" xfId="38" xr:uid="{00000000-0005-0000-0000-00002F000000}"/>
    <cellStyle name="SAPBEXresData" xfId="39" xr:uid="{00000000-0005-0000-0000-000030000000}"/>
    <cellStyle name="SAPBEXresDataEmph" xfId="40" xr:uid="{00000000-0005-0000-0000-000031000000}"/>
    <cellStyle name="SAPBEXresItem" xfId="41" xr:uid="{00000000-0005-0000-0000-000032000000}"/>
    <cellStyle name="SAPBEXresItemX" xfId="42" xr:uid="{00000000-0005-0000-0000-000033000000}"/>
    <cellStyle name="SAPBEXstdData" xfId="43" xr:uid="{00000000-0005-0000-0000-000034000000}"/>
    <cellStyle name="SAPBEXstdDataEmph" xfId="44" xr:uid="{00000000-0005-0000-0000-000035000000}"/>
    <cellStyle name="SAPBEXstdItem" xfId="45" xr:uid="{00000000-0005-0000-0000-000036000000}"/>
    <cellStyle name="SAPBEXstdItemX" xfId="46" xr:uid="{00000000-0005-0000-0000-000037000000}"/>
    <cellStyle name="SAPBEXtitle" xfId="47" xr:uid="{00000000-0005-0000-0000-000038000000}"/>
    <cellStyle name="SAPBEXundefined" xfId="48" xr:uid="{00000000-0005-0000-0000-000039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K25"/>
  <sheetViews>
    <sheetView zoomScale="130" zoomScaleNormal="130" zoomScalePageLayoutView="190" workbookViewId="0">
      <pane ySplit="3" topLeftCell="A4" activePane="bottomLeft" state="frozen"/>
      <selection pane="bottomLeft" activeCell="A7" sqref="A7"/>
    </sheetView>
  </sheetViews>
  <sheetFormatPr defaultColWidth="8.59765625" defaultRowHeight="13.8" x14ac:dyDescent="0.25"/>
  <cols>
    <col min="1" max="1" width="33.19921875" style="7" bestFit="1" customWidth="1"/>
    <col min="2" max="2" width="11.5" style="7" customWidth="1"/>
    <col min="3" max="3" width="12.8984375" style="7" customWidth="1"/>
    <col min="4" max="4" width="4.59765625" style="197" bestFit="1" customWidth="1"/>
    <col min="5" max="5" width="14.3984375" style="7" customWidth="1"/>
    <col min="6" max="6" width="4.69921875" style="197" customWidth="1"/>
    <col min="7" max="7" width="13.69921875" style="7" customWidth="1"/>
    <col min="8" max="8" width="4.19921875" style="197" customWidth="1"/>
    <col min="9" max="9" width="8.59765625" style="7"/>
    <col min="10" max="10" width="15.59765625" style="7" customWidth="1"/>
    <col min="11" max="16384" width="8.59765625" style="7"/>
  </cols>
  <sheetData>
    <row r="1" spans="1:11" ht="14.25" customHeight="1" x14ac:dyDescent="0.25">
      <c r="A1" s="274" t="s">
        <v>0</v>
      </c>
      <c r="B1" s="274"/>
      <c r="C1" s="274"/>
      <c r="D1" s="274"/>
      <c r="E1" s="274"/>
      <c r="F1" s="274"/>
      <c r="G1" s="274"/>
    </row>
    <row r="2" spans="1:11" ht="14.25" customHeight="1" x14ac:dyDescent="0.25">
      <c r="A2" s="274"/>
      <c r="B2" s="274"/>
      <c r="C2" s="274"/>
      <c r="D2" s="274"/>
      <c r="E2" s="274"/>
      <c r="F2" s="274"/>
      <c r="G2" s="274"/>
    </row>
    <row r="3" spans="1:11" ht="41.4" x14ac:dyDescent="0.25">
      <c r="A3" s="12"/>
      <c r="B3" s="242" t="s">
        <v>1</v>
      </c>
      <c r="C3" s="5" t="s">
        <v>2</v>
      </c>
      <c r="D3" s="193"/>
      <c r="E3" s="5" t="s">
        <v>3</v>
      </c>
      <c r="F3" s="193"/>
      <c r="G3" s="5" t="s">
        <v>4</v>
      </c>
      <c r="H3" s="193"/>
    </row>
    <row r="4" spans="1:11" s="13" customFormat="1" ht="14.4" x14ac:dyDescent="0.25">
      <c r="A4" s="13" t="s">
        <v>5</v>
      </c>
      <c r="C4" s="19">
        <f>SUM(C5:C6)</f>
        <v>1059091.3978494622</v>
      </c>
      <c r="D4" s="194"/>
      <c r="E4" s="18">
        <f>SUM(E5:E6)</f>
        <v>1654361.4861751152</v>
      </c>
      <c r="F4" s="198"/>
      <c r="G4" s="19">
        <f>SUM(G5:G6)</f>
        <v>2330449.2165898615</v>
      </c>
      <c r="H4" s="194"/>
    </row>
    <row r="5" spans="1:11" s="20" customFormat="1" ht="14.4" x14ac:dyDescent="0.25">
      <c r="A5" s="54" t="s">
        <v>6</v>
      </c>
      <c r="B5" s="13"/>
      <c r="C5" s="16">
        <f>'Επισκέψεις, Παραγγελίες, Τζίρος'!B18</f>
        <v>1059091.3978494622</v>
      </c>
      <c r="D5" s="233">
        <f>C5/C$4</f>
        <v>1</v>
      </c>
      <c r="E5" s="15">
        <f>'Επισκέψεις, Παραγγελίες, Τζίρος'!D18</f>
        <v>1654361.4861751152</v>
      </c>
      <c r="F5" s="236">
        <f>E5/E$4</f>
        <v>1</v>
      </c>
      <c r="G5" s="16">
        <f>'Επισκέψεις, Παραγγελίες, Τζίρος'!F18</f>
        <v>2330449.2165898615</v>
      </c>
      <c r="H5" s="233">
        <f>G5/G$4</f>
        <v>1</v>
      </c>
    </row>
    <row r="6" spans="1:11" s="20" customFormat="1" ht="14.4" x14ac:dyDescent="0.25">
      <c r="A6" s="55" t="s">
        <v>7</v>
      </c>
      <c r="B6" s="13"/>
      <c r="C6" s="199">
        <f>'Επισκέψεις, Παραγγελίες, Τζίρος'!B36</f>
        <v>0</v>
      </c>
      <c r="D6" s="233">
        <f t="shared" ref="D6:F7" si="0">C6/C$4</f>
        <v>0</v>
      </c>
      <c r="E6" s="15">
        <f>'Επισκέψεις, Παραγγελίες, Τζίρος'!D36</f>
        <v>0</v>
      </c>
      <c r="F6" s="236">
        <f t="shared" si="0"/>
        <v>0</v>
      </c>
      <c r="G6" s="16">
        <f>'Επισκέψεις, Παραγγελίες, Τζίρος'!F36</f>
        <v>0</v>
      </c>
      <c r="H6" s="233">
        <f>G6/G$4</f>
        <v>0</v>
      </c>
    </row>
    <row r="7" spans="1:11" s="13" customFormat="1" ht="14.4" x14ac:dyDescent="0.25">
      <c r="A7" s="13" t="s">
        <v>223</v>
      </c>
      <c r="C7" s="22">
        <f>'Κόστος Πωληθέντων (CoGS)'!B6</f>
        <v>773136.72043010744</v>
      </c>
      <c r="D7" s="233">
        <f>C7/C$4</f>
        <v>0.73</v>
      </c>
      <c r="E7" s="21">
        <f>'Κόστος Πωληθέντων (CoGS)'!D6</f>
        <v>1207683.884907834</v>
      </c>
      <c r="F7" s="237">
        <f t="shared" si="0"/>
        <v>0.73</v>
      </c>
      <c r="G7" s="22">
        <f>'Κόστος Πωληθέντων (CoGS)'!F6</f>
        <v>1701227.9281105988</v>
      </c>
      <c r="H7" s="240">
        <f>G7/G$4</f>
        <v>0.73</v>
      </c>
      <c r="I7" s="20"/>
      <c r="J7" s="20"/>
      <c r="K7" s="20"/>
    </row>
    <row r="8" spans="1:11" s="13" customFormat="1" ht="14.4" x14ac:dyDescent="0.25">
      <c r="A8" s="13" t="s">
        <v>8</v>
      </c>
      <c r="C8" s="19">
        <f>C4-C7</f>
        <v>285954.67741935479</v>
      </c>
      <c r="D8" s="234"/>
      <c r="E8" s="18">
        <f>E4-E7</f>
        <v>446677.60126728122</v>
      </c>
      <c r="F8" s="238"/>
      <c r="G8" s="19">
        <f>G4-G7</f>
        <v>629221.28847926273</v>
      </c>
      <c r="H8" s="241"/>
      <c r="I8" s="6"/>
    </row>
    <row r="9" spans="1:11" ht="14.4" x14ac:dyDescent="0.25">
      <c r="A9" s="20" t="s">
        <v>224</v>
      </c>
      <c r="B9" s="20"/>
      <c r="C9" s="56"/>
      <c r="D9" s="235"/>
      <c r="E9" s="62"/>
      <c r="F9" s="239"/>
      <c r="G9" s="6"/>
      <c r="H9" s="235"/>
      <c r="J9" s="56"/>
    </row>
    <row r="10" spans="1:11" ht="14.4" x14ac:dyDescent="0.25">
      <c r="A10" s="6" t="s">
        <v>9</v>
      </c>
      <c r="B10" s="16">
        <f>Προσωπικό!B27</f>
        <v>27000</v>
      </c>
      <c r="C10" s="16">
        <f>Προσωπικό!C27</f>
        <v>55755</v>
      </c>
      <c r="D10" s="233">
        <f t="shared" ref="D10" si="1">C10/C$4</f>
        <v>5.2644181713885414E-2</v>
      </c>
      <c r="E10" s="15">
        <f>Προσωπικό!D27</f>
        <v>75600</v>
      </c>
      <c r="F10" s="236">
        <f t="shared" ref="F10" si="2">E10/E$4</f>
        <v>4.5697388770085098E-2</v>
      </c>
      <c r="G10" s="16">
        <f>Προσωπικό!E27</f>
        <v>85995</v>
      </c>
      <c r="H10" s="233">
        <f t="shared" ref="H10:H19" si="3">G10/G$4</f>
        <v>3.6900611001442971E-2</v>
      </c>
      <c r="J10" s="56"/>
    </row>
    <row r="11" spans="1:11" ht="14.4" x14ac:dyDescent="0.25">
      <c r="A11" s="6" t="s">
        <v>10</v>
      </c>
      <c r="B11" s="1" t="s">
        <v>11</v>
      </c>
      <c r="C11" s="16">
        <f>Marketing!B30</f>
        <v>98400</v>
      </c>
      <c r="D11" s="233">
        <f t="shared" ref="D11" si="4">C11/C$4</f>
        <v>9.2909828367793462E-2</v>
      </c>
      <c r="E11" s="15">
        <f>Marketing!C30</f>
        <v>129600</v>
      </c>
      <c r="F11" s="236">
        <f t="shared" ref="F11" si="5">E11/E$4</f>
        <v>7.8338380748717309E-2</v>
      </c>
      <c r="G11" s="16">
        <f>Marketing!D30</f>
        <v>167400</v>
      </c>
      <c r="H11" s="233">
        <f t="shared" si="3"/>
        <v>7.1831644649590715E-2</v>
      </c>
      <c r="J11" s="56"/>
    </row>
    <row r="12" spans="1:11" ht="14.4" x14ac:dyDescent="0.25">
      <c r="A12" s="6" t="s">
        <v>12</v>
      </c>
      <c r="B12" s="16">
        <f>'Εξ. Συνεργάτες'!B29</f>
        <v>15600</v>
      </c>
      <c r="C12" s="16">
        <f>'Εξ. Συνεργάτες'!C29</f>
        <v>113803.88446236558</v>
      </c>
      <c r="D12" s="233">
        <f t="shared" ref="D12" si="6">C12/C$4</f>
        <v>0.10745426192059536</v>
      </c>
      <c r="E12" s="15">
        <f>'Εξ. Συνεργάτες'!D29</f>
        <v>144294.32744216913</v>
      </c>
      <c r="F12" s="236">
        <f t="shared" ref="F12" si="7">E12/E$4</f>
        <v>8.7220555270406896E-2</v>
      </c>
      <c r="G12" s="16">
        <f>'Εξ. Συνεργάτες'!E29</f>
        <v>171548.24250460829</v>
      </c>
      <c r="H12" s="233">
        <f t="shared" si="3"/>
        <v>7.3611663057663299E-2</v>
      </c>
    </row>
    <row r="13" spans="1:11" ht="14.4" x14ac:dyDescent="0.25">
      <c r="A13" s="6" t="s">
        <v>13</v>
      </c>
      <c r="B13" s="1" t="s">
        <v>11</v>
      </c>
      <c r="C13" s="199">
        <f>Αποστολές!B58</f>
        <v>35992.618986804911</v>
      </c>
      <c r="D13" s="233">
        <f t="shared" ref="D13" si="8">C13/C$4</f>
        <v>3.3984431428571431E-2</v>
      </c>
      <c r="E13" s="200">
        <f>Αποστολές!C58</f>
        <v>55430.667802100579</v>
      </c>
      <c r="F13" s="236">
        <f t="shared" ref="F13" si="9">E13/E$4</f>
        <v>3.3505777464788736E-2</v>
      </c>
      <c r="G13" s="199">
        <f>Αποστολές!D58</f>
        <v>76999.019610105999</v>
      </c>
      <c r="H13" s="233">
        <f t="shared" si="3"/>
        <v>3.3040419444444448E-2</v>
      </c>
    </row>
    <row r="14" spans="1:11" ht="14.4" x14ac:dyDescent="0.25">
      <c r="A14" s="6" t="s">
        <v>14</v>
      </c>
      <c r="B14" s="1" t="s">
        <v>11</v>
      </c>
      <c r="C14" s="199">
        <f>'Επισκέψεις, Παραγγελίες, Τζίρος'!B40*1</f>
        <v>18761.047619047615</v>
      </c>
      <c r="D14" s="233">
        <f t="shared" ref="D14" si="10">C14/C$4</f>
        <v>1.7714285714285714E-2</v>
      </c>
      <c r="E14" s="200">
        <f>'Επισκέψεις, Παραγγελίες, Τζίρος'!D40*1</f>
        <v>28893.073843058351</v>
      </c>
      <c r="F14" s="236">
        <f t="shared" ref="F14:F19" si="11">E14/E$4</f>
        <v>1.7464788732394366E-2</v>
      </c>
      <c r="G14" s="199">
        <f>'Επισκέψεις, Παραγγελίες, Τζίρος'!F40*1</f>
        <v>40135.514285714286</v>
      </c>
      <c r="H14" s="233">
        <f t="shared" si="3"/>
        <v>1.7222222222222222E-2</v>
      </c>
    </row>
    <row r="15" spans="1:11" ht="13.95" customHeight="1" x14ac:dyDescent="0.25">
      <c r="A15" s="6" t="s">
        <v>15</v>
      </c>
      <c r="B15" s="16">
        <f>Ενοίκιο!B5</f>
        <v>6000</v>
      </c>
      <c r="C15" s="16">
        <f>Ενοίκιο!C5</f>
        <v>7200</v>
      </c>
      <c r="D15" s="233">
        <f t="shared" ref="D15" si="12">C15/C$4</f>
        <v>6.7982801244726929E-3</v>
      </c>
      <c r="E15" s="15">
        <f>Ενοίκιο!D5</f>
        <v>7200</v>
      </c>
      <c r="F15" s="236">
        <f t="shared" si="11"/>
        <v>4.3521322638176282E-3</v>
      </c>
      <c r="G15" s="16">
        <f>Ενοίκιο!E5</f>
        <v>7800</v>
      </c>
      <c r="H15" s="233">
        <f t="shared" si="3"/>
        <v>3.3469941951422195E-3</v>
      </c>
    </row>
    <row r="16" spans="1:11" ht="14.4" x14ac:dyDescent="0.25">
      <c r="A16" s="6" t="s">
        <v>16</v>
      </c>
      <c r="B16" s="16">
        <f>Λογαριασμοί!B16</f>
        <v>7600</v>
      </c>
      <c r="C16" s="16">
        <f>Λογαριασμοί!C16</f>
        <v>16140</v>
      </c>
      <c r="D16" s="233">
        <f t="shared" ref="D16" si="13">C16/C$4</f>
        <v>1.5239477945692952E-2</v>
      </c>
      <c r="E16" s="15">
        <f>Λογαριασμοί!D16</f>
        <v>16940</v>
      </c>
      <c r="F16" s="236">
        <f t="shared" si="11"/>
        <v>1.0239600076259809E-2</v>
      </c>
      <c r="G16" s="16">
        <f>Λογαριασμοί!E16</f>
        <v>17360</v>
      </c>
      <c r="H16" s="233">
        <f t="shared" si="3"/>
        <v>7.4492075932908889E-3</v>
      </c>
    </row>
    <row r="17" spans="1:8" ht="14.4" x14ac:dyDescent="0.25">
      <c r="A17" s="6" t="s">
        <v>17</v>
      </c>
      <c r="B17" s="1" t="s">
        <v>11</v>
      </c>
      <c r="C17" s="16">
        <f>Μετακινήσεις!B6</f>
        <v>1200</v>
      </c>
      <c r="D17" s="233">
        <f t="shared" ref="D17" si="14">C17/C$4</f>
        <v>1.1330466874121155E-3</v>
      </c>
      <c r="E17" s="15">
        <f>Μετακινήσεις!D6</f>
        <v>1300</v>
      </c>
      <c r="F17" s="236">
        <f t="shared" si="11"/>
        <v>7.858016587448495E-4</v>
      </c>
      <c r="G17" s="16">
        <f>Μετακινήσεις!F6</f>
        <v>2600</v>
      </c>
      <c r="H17" s="233">
        <f t="shared" si="3"/>
        <v>1.1156647317140732E-3</v>
      </c>
    </row>
    <row r="18" spans="1:8" ht="14.4" x14ac:dyDescent="0.25">
      <c r="A18" s="6" t="s">
        <v>18</v>
      </c>
      <c r="B18" s="16">
        <f>SUM(B10:B17)*2%</f>
        <v>1124</v>
      </c>
      <c r="C18" s="16">
        <f>SUM(C10:C17)*2%</f>
        <v>6945.0510213643629</v>
      </c>
      <c r="D18" s="233">
        <f t="shared" ref="D18" si="15">C18/C$4</f>
        <v>6.5575558780541837E-3</v>
      </c>
      <c r="E18" s="15">
        <f>SUM(E10:E17)*2%</f>
        <v>9185.1613817465623</v>
      </c>
      <c r="F18" s="236">
        <f t="shared" si="11"/>
        <v>5.5520884997042946E-3</v>
      </c>
      <c r="G18" s="16">
        <f>SUM(G10:G17)*2%</f>
        <v>11396.755528008573</v>
      </c>
      <c r="H18" s="233">
        <f t="shared" si="3"/>
        <v>4.8903685379102172E-3</v>
      </c>
    </row>
    <row r="19" spans="1:8" ht="14.4" x14ac:dyDescent="0.25">
      <c r="A19" s="6" t="s">
        <v>225</v>
      </c>
      <c r="B19" s="1" t="s">
        <v>11</v>
      </c>
      <c r="C19" s="24">
        <f>0.5%*C7</f>
        <v>3865.6836021505374</v>
      </c>
      <c r="D19" s="233">
        <f t="shared" ref="D19" si="16">C19/C$4</f>
        <v>3.65E-3</v>
      </c>
      <c r="E19" s="23">
        <f>0.5%*E7</f>
        <v>6038.41942453917</v>
      </c>
      <c r="F19" s="236">
        <f t="shared" si="11"/>
        <v>3.6499999999999996E-3</v>
      </c>
      <c r="G19" s="24">
        <f>0.5%*G7</f>
        <v>8506.139640552994</v>
      </c>
      <c r="H19" s="233">
        <f t="shared" si="3"/>
        <v>3.6499999999999996E-3</v>
      </c>
    </row>
    <row r="20" spans="1:8" ht="14.4" x14ac:dyDescent="0.25">
      <c r="A20" s="13" t="s">
        <v>265</v>
      </c>
      <c r="B20" s="19">
        <f>SUM(B10:B19)</f>
        <v>57324</v>
      </c>
      <c r="C20" s="19">
        <f>SUM(C10:C19)</f>
        <v>358063.28569173301</v>
      </c>
      <c r="D20" s="194"/>
      <c r="E20" s="18">
        <f>SUM(E10:E19)</f>
        <v>474481.64989361388</v>
      </c>
      <c r="F20" s="198"/>
      <c r="G20" s="19">
        <f>SUM(G10:G19)</f>
        <v>589740.67156899022</v>
      </c>
      <c r="H20" s="194"/>
    </row>
    <row r="21" spans="1:8" ht="14.4" x14ac:dyDescent="0.25">
      <c r="A21" s="13" t="s">
        <v>226</v>
      </c>
      <c r="B21" s="19">
        <f>B8-B20</f>
        <v>-57324</v>
      </c>
      <c r="C21" s="19">
        <f>C8-C20</f>
        <v>-72108.608272378216</v>
      </c>
      <c r="D21" s="194"/>
      <c r="E21" s="18">
        <f>E8-E20</f>
        <v>-27804.04862633266</v>
      </c>
      <c r="F21" s="198"/>
      <c r="G21" s="19">
        <f>G8-G20</f>
        <v>39480.616910272511</v>
      </c>
      <c r="H21" s="194"/>
    </row>
    <row r="22" spans="1:8" ht="14.4" x14ac:dyDescent="0.25">
      <c r="A22" s="6" t="s">
        <v>19</v>
      </c>
      <c r="B22" s="19">
        <f>Αποσβέσεις!B27</f>
        <v>7300</v>
      </c>
      <c r="C22" s="19">
        <f>Αποσβέσεις!C27</f>
        <v>1000</v>
      </c>
      <c r="D22" s="194"/>
      <c r="E22" s="18">
        <f>Αποσβέσεις!D27</f>
        <v>1230</v>
      </c>
      <c r="F22" s="198"/>
      <c r="G22" s="19">
        <f>Αποσβέσεις!E27</f>
        <v>1460</v>
      </c>
      <c r="H22" s="194"/>
    </row>
    <row r="23" spans="1:8" ht="14.4" x14ac:dyDescent="0.3">
      <c r="A23" s="6" t="s">
        <v>20</v>
      </c>
      <c r="B23" s="61">
        <f>B21-B22</f>
        <v>-64624</v>
      </c>
      <c r="C23" s="60">
        <f>C21-C22</f>
        <v>-73108.608272378216</v>
      </c>
      <c r="D23" s="195"/>
      <c r="E23" s="60">
        <f>E21-E22</f>
        <v>-29034.04862633266</v>
      </c>
      <c r="F23" s="195"/>
      <c r="G23" s="61">
        <f>G21-G22</f>
        <v>38020.616910272511</v>
      </c>
      <c r="H23" s="195"/>
    </row>
    <row r="24" spans="1:8" ht="14.4" x14ac:dyDescent="0.3">
      <c r="A24" s="25" t="s">
        <v>264</v>
      </c>
      <c r="B24" s="249">
        <f>B23</f>
        <v>-64624</v>
      </c>
      <c r="C24" s="250">
        <f>C23+B24</f>
        <v>-137732.60827237822</v>
      </c>
      <c r="D24" s="196"/>
      <c r="E24" s="250">
        <f>E23+C24</f>
        <v>-166766.65689871088</v>
      </c>
      <c r="F24" s="196"/>
      <c r="G24" s="249">
        <f>G23+E24</f>
        <v>-128746.03998843837</v>
      </c>
      <c r="H24" s="196"/>
    </row>
    <row r="25" spans="1:8" ht="14.4" x14ac:dyDescent="0.25">
      <c r="A25" s="6" t="s">
        <v>21</v>
      </c>
      <c r="B25" s="6"/>
    </row>
  </sheetData>
  <mergeCells count="1">
    <mergeCell ref="A1:G2"/>
  </mergeCells>
  <phoneticPr fontId="2" type="noConversion"/>
  <conditionalFormatting sqref="C23:G24">
    <cfRule type="cellIs" dxfId="14" priority="16" operator="lessThan">
      <formula>0</formula>
    </cfRule>
    <cfRule type="cellIs" dxfId="13" priority="17" operator="lessThan">
      <formula>0</formula>
    </cfRule>
    <cfRule type="cellIs" dxfId="12" priority="18" operator="greaterThan">
      <formula>0</formula>
    </cfRule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B23:B24">
    <cfRule type="cellIs" dxfId="9" priority="6" operator="lessThan">
      <formula>0</formula>
    </cfRule>
    <cfRule type="cellIs" dxfId="8" priority="7" operator="lessThan">
      <formula>0</formula>
    </cfRule>
    <cfRule type="cellIs" dxfId="7" priority="8" operator="greaterThan">
      <formula>0</formula>
    </cfRule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H23:H24">
    <cfRule type="cellIs" dxfId="4" priority="1" operator="lessThan">
      <formula>0</formula>
    </cfRule>
    <cfRule type="cellIs" dxfId="3" priority="2" operator="lessThan">
      <formula>0</formula>
    </cfRule>
    <cfRule type="cellIs" dxfId="2" priority="3" operator="greaterThan">
      <formula>0</formula>
    </cfRule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4:G5 G15:G21 B15:B16 B10 B20:B21 G12 E15:E21 E12 E4:E5 C4:C5 C9:C11 C15:C16 B12:C12 E7:E11 G7:G11 C21 E23:E24 G23:G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97034"/>
  </sheetPr>
  <dimension ref="A1:E19"/>
  <sheetViews>
    <sheetView zoomScale="130" zoomScaleNormal="130" zoomScalePageLayoutView="230" workbookViewId="0">
      <pane ySplit="3" topLeftCell="A4" activePane="bottomLeft" state="frozen"/>
      <selection pane="bottomLeft" activeCell="E16" sqref="E16"/>
    </sheetView>
  </sheetViews>
  <sheetFormatPr defaultColWidth="8.59765625" defaultRowHeight="13.8" x14ac:dyDescent="0.25"/>
  <cols>
    <col min="1" max="1" width="37.19921875" style="7" bestFit="1" customWidth="1"/>
    <col min="2" max="2" width="15" style="7" bestFit="1" customWidth="1"/>
    <col min="3" max="3" width="10.59765625" style="7" customWidth="1"/>
    <col min="4" max="5" width="11.3984375" style="7" customWidth="1"/>
    <col min="6" max="6" width="14.09765625" style="7" customWidth="1"/>
    <col min="7" max="7" width="12.59765625" style="7" customWidth="1"/>
    <col min="8" max="8" width="12" style="7" customWidth="1"/>
    <col min="9" max="9" width="8.59765625" style="7"/>
    <col min="10" max="10" width="13.3984375" style="7" customWidth="1"/>
    <col min="11" max="16384" width="8.59765625" style="7"/>
  </cols>
  <sheetData>
    <row r="1" spans="1:5" ht="14.25" customHeight="1" x14ac:dyDescent="0.25">
      <c r="A1" s="274" t="s">
        <v>16</v>
      </c>
      <c r="B1" s="274"/>
      <c r="C1" s="274"/>
      <c r="D1" s="274"/>
      <c r="E1" s="274"/>
    </row>
    <row r="2" spans="1:5" ht="14.25" customHeight="1" x14ac:dyDescent="0.25">
      <c r="A2" s="274"/>
      <c r="B2" s="274"/>
      <c r="C2" s="274"/>
      <c r="D2" s="274"/>
      <c r="E2" s="274"/>
    </row>
    <row r="3" spans="1:5" ht="31.5" customHeight="1" x14ac:dyDescent="0.25">
      <c r="A3" s="12"/>
      <c r="B3" s="242" t="s">
        <v>1</v>
      </c>
      <c r="C3" s="5" t="s">
        <v>2</v>
      </c>
      <c r="D3" s="5" t="s">
        <v>3</v>
      </c>
      <c r="E3" s="5" t="s">
        <v>4</v>
      </c>
    </row>
    <row r="4" spans="1:5" s="13" customFormat="1" ht="14.4" x14ac:dyDescent="0.25">
      <c r="A4" s="29" t="s">
        <v>181</v>
      </c>
      <c r="B4" s="31">
        <f>Προσωπικό!B4</f>
        <v>1</v>
      </c>
      <c r="C4" s="31">
        <f>Προσωπικό!C4</f>
        <v>2</v>
      </c>
      <c r="D4" s="30">
        <f>Προσωπικό!D4</f>
        <v>3</v>
      </c>
      <c r="E4" s="31">
        <f>Προσωπικό!E4</f>
        <v>3</v>
      </c>
    </row>
    <row r="5" spans="1:5" ht="14.4" x14ac:dyDescent="0.25">
      <c r="A5" s="13" t="s">
        <v>182</v>
      </c>
      <c r="B5" s="19">
        <f>SUM(B6:B6)</f>
        <v>2000</v>
      </c>
      <c r="C5" s="19">
        <f>SUM(C6:C6)</f>
        <v>2400</v>
      </c>
      <c r="D5" s="18">
        <f>SUM(D6:D6)</f>
        <v>2640</v>
      </c>
      <c r="E5" s="19">
        <f>SUM(E6:E6)</f>
        <v>3000</v>
      </c>
    </row>
    <row r="6" spans="1:5" ht="14.4" x14ac:dyDescent="0.25">
      <c r="A6" s="85" t="s">
        <v>183</v>
      </c>
      <c r="B6" s="205">
        <f>200*10</f>
        <v>2000</v>
      </c>
      <c r="C6" s="205">
        <f>200*12</f>
        <v>2400</v>
      </c>
      <c r="D6" s="206">
        <f>220*12</f>
        <v>2640</v>
      </c>
      <c r="E6" s="205">
        <f>250*12</f>
        <v>3000</v>
      </c>
    </row>
    <row r="7" spans="1:5" ht="14.4" x14ac:dyDescent="0.25">
      <c r="A7" s="13" t="s">
        <v>184</v>
      </c>
      <c r="B7" s="19">
        <f>SUM(B8:B8)</f>
        <v>200</v>
      </c>
      <c r="C7" s="19">
        <f>SUM(C8:C8)</f>
        <v>240</v>
      </c>
      <c r="D7" s="19">
        <f>SUM(D8:D8)</f>
        <v>300</v>
      </c>
      <c r="E7" s="19">
        <f>SUM(E8:E8)</f>
        <v>360</v>
      </c>
    </row>
    <row r="8" spans="1:5" ht="14.4" x14ac:dyDescent="0.25">
      <c r="A8" s="85" t="s">
        <v>185</v>
      </c>
      <c r="B8" s="205">
        <f>C8*10/12</f>
        <v>200</v>
      </c>
      <c r="C8" s="205">
        <v>240</v>
      </c>
      <c r="D8" s="206">
        <v>300</v>
      </c>
      <c r="E8" s="205">
        <v>360</v>
      </c>
    </row>
    <row r="9" spans="1:5" ht="14.4" x14ac:dyDescent="0.25">
      <c r="A9" s="13" t="s">
        <v>186</v>
      </c>
      <c r="B9" s="19">
        <f>SUM(B10:B11)*7</f>
        <v>1400</v>
      </c>
      <c r="C9" s="19">
        <f>SUM(C10:C11)*12</f>
        <v>2400</v>
      </c>
      <c r="D9" s="18">
        <f>SUM(D10:D11)*12</f>
        <v>2400</v>
      </c>
      <c r="E9" s="19">
        <f>SUM(E10:E11)*12</f>
        <v>2400</v>
      </c>
    </row>
    <row r="10" spans="1:5" ht="14.4" x14ac:dyDescent="0.25">
      <c r="A10" s="6" t="s">
        <v>187</v>
      </c>
      <c r="B10" s="16">
        <f>100</f>
        <v>100</v>
      </c>
      <c r="C10" s="16">
        <f>100</f>
        <v>100</v>
      </c>
      <c r="D10" s="15">
        <f>100</f>
        <v>100</v>
      </c>
      <c r="E10" s="16">
        <f>100</f>
        <v>100</v>
      </c>
    </row>
    <row r="11" spans="1:5" ht="14.4" x14ac:dyDescent="0.25">
      <c r="A11" s="6" t="s">
        <v>188</v>
      </c>
      <c r="B11" s="24">
        <f>100</f>
        <v>100</v>
      </c>
      <c r="C11" s="24">
        <f>100</f>
        <v>100</v>
      </c>
      <c r="D11" s="23">
        <f>100</f>
        <v>100</v>
      </c>
      <c r="E11" s="24">
        <f>100</f>
        <v>100</v>
      </c>
    </row>
    <row r="12" spans="1:5" ht="14.4" x14ac:dyDescent="0.25">
      <c r="A12" s="13" t="s">
        <v>189</v>
      </c>
      <c r="B12" s="19">
        <f>B14*4</f>
        <v>2800</v>
      </c>
      <c r="C12" s="19">
        <f>C14*12</f>
        <v>9600</v>
      </c>
      <c r="D12" s="18">
        <f>D14*12</f>
        <v>9600</v>
      </c>
      <c r="E12" s="19">
        <f>E14*12</f>
        <v>9600</v>
      </c>
    </row>
    <row r="13" spans="1:5" ht="14.4" x14ac:dyDescent="0.25">
      <c r="A13" s="6" t="s">
        <v>190</v>
      </c>
      <c r="B13" s="24"/>
      <c r="C13" s="24"/>
      <c r="D13" s="23"/>
      <c r="E13" s="24"/>
    </row>
    <row r="14" spans="1:5" ht="14.4" x14ac:dyDescent="0.25">
      <c r="A14" s="6" t="s">
        <v>191</v>
      </c>
      <c r="B14" s="24">
        <v>700</v>
      </c>
      <c r="C14" s="24">
        <v>800</v>
      </c>
      <c r="D14" s="23">
        <v>800</v>
      </c>
      <c r="E14" s="24">
        <v>800</v>
      </c>
    </row>
    <row r="15" spans="1:5" ht="14.4" x14ac:dyDescent="0.25">
      <c r="A15" s="13" t="s">
        <v>192</v>
      </c>
      <c r="B15" s="19">
        <v>1200</v>
      </c>
      <c r="C15" s="19">
        <v>1500</v>
      </c>
      <c r="D15" s="18">
        <v>2000</v>
      </c>
      <c r="E15" s="19">
        <v>2000</v>
      </c>
    </row>
    <row r="16" spans="1:5" s="13" customFormat="1" ht="14.4" x14ac:dyDescent="0.25">
      <c r="A16" s="28" t="s">
        <v>193</v>
      </c>
      <c r="B16" s="27">
        <f>B5+B7+B9+B12+B15</f>
        <v>7600</v>
      </c>
      <c r="C16" s="27">
        <f>C5+C7+C9+C12+C15</f>
        <v>16140</v>
      </c>
      <c r="D16" s="26">
        <f>D5+D7+D9+D12+D15</f>
        <v>16940</v>
      </c>
      <c r="E16" s="27">
        <f>E5+E7+E9+E12+E15</f>
        <v>17360</v>
      </c>
    </row>
    <row r="19" spans="1:1" x14ac:dyDescent="0.25">
      <c r="A19" s="202" t="s">
        <v>177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r:id="rId1"/>
  <ignoredErrors>
    <ignoredError sqref="C4:E4 C15:E15 C12:E12 B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97034"/>
  </sheetPr>
  <dimension ref="A1:H29"/>
  <sheetViews>
    <sheetView zoomScale="115" zoomScaleNormal="115" zoomScalePageLayoutView="210" workbookViewId="0">
      <pane ySplit="3" topLeftCell="A4" activePane="bottomLeft" state="frozen"/>
      <selection pane="bottomLeft" activeCell="A28" sqref="A28"/>
    </sheetView>
  </sheetViews>
  <sheetFormatPr defaultColWidth="8.59765625" defaultRowHeight="13.8" x14ac:dyDescent="0.25"/>
  <cols>
    <col min="1" max="1" width="42.69921875" style="7" bestFit="1" customWidth="1"/>
    <col min="2" max="2" width="11.59765625" style="7" customWidth="1"/>
    <col min="3" max="4" width="13" style="7" customWidth="1"/>
    <col min="5" max="5" width="13.09765625" style="7" customWidth="1"/>
    <col min="6" max="6" width="13.59765625" style="7" customWidth="1"/>
    <col min="7" max="7" width="8.59765625" style="7"/>
    <col min="8" max="8" width="10" style="7" customWidth="1"/>
    <col min="9" max="9" width="8.59765625" style="7"/>
    <col min="10" max="10" width="9.59765625" style="7" customWidth="1"/>
    <col min="11" max="16384" width="8.59765625" style="7"/>
  </cols>
  <sheetData>
    <row r="1" spans="1:6" ht="18.75" customHeight="1" x14ac:dyDescent="0.25">
      <c r="A1" s="274" t="s">
        <v>194</v>
      </c>
      <c r="B1" s="274"/>
      <c r="C1" s="274"/>
      <c r="D1" s="274"/>
      <c r="E1" s="274"/>
      <c r="F1" s="274"/>
    </row>
    <row r="2" spans="1:6" ht="18.75" customHeight="1" x14ac:dyDescent="0.25">
      <c r="A2" s="274"/>
      <c r="B2" s="274"/>
      <c r="C2" s="274"/>
      <c r="D2" s="274"/>
      <c r="E2" s="274"/>
      <c r="F2" s="274"/>
    </row>
    <row r="3" spans="1:6" ht="47.25" customHeight="1" x14ac:dyDescent="0.25">
      <c r="A3" s="12"/>
      <c r="B3" s="5" t="s">
        <v>195</v>
      </c>
      <c r="C3" s="5" t="s">
        <v>196</v>
      </c>
      <c r="D3" s="5" t="s">
        <v>197</v>
      </c>
      <c r="E3" s="5" t="s">
        <v>198</v>
      </c>
      <c r="F3" s="5" t="s">
        <v>199</v>
      </c>
    </row>
    <row r="4" spans="1:6" s="13" customFormat="1" ht="14.4" x14ac:dyDescent="0.25">
      <c r="A4" s="29" t="s">
        <v>181</v>
      </c>
      <c r="B4" s="31"/>
      <c r="C4" s="31">
        <f>Προσωπικό!B4</f>
        <v>1</v>
      </c>
      <c r="D4" s="31">
        <f>Προσωπικό!C4</f>
        <v>2</v>
      </c>
      <c r="E4" s="58">
        <f>Προσωπικό!D4</f>
        <v>3</v>
      </c>
      <c r="F4" s="31">
        <f>Προσωπικό!E4</f>
        <v>3</v>
      </c>
    </row>
    <row r="5" spans="1:6" ht="14.4" x14ac:dyDescent="0.25">
      <c r="A5" s="13" t="s">
        <v>200</v>
      </c>
      <c r="B5" s="19">
        <f>SUM(B6:B12)</f>
        <v>0</v>
      </c>
      <c r="C5" s="19">
        <f>SUM(C6:C12)</f>
        <v>0</v>
      </c>
      <c r="D5" s="19">
        <f>SUM(D6:D12)</f>
        <v>0</v>
      </c>
      <c r="E5" s="57">
        <f>SUM(E6:E12)</f>
        <v>0</v>
      </c>
      <c r="F5" s="19">
        <f>SUM(F6:F12)</f>
        <v>0</v>
      </c>
    </row>
    <row r="6" spans="1:6" ht="14.4" x14ac:dyDescent="0.25">
      <c r="A6" s="6" t="s">
        <v>201</v>
      </c>
      <c r="B6" s="16"/>
      <c r="C6" s="16"/>
      <c r="D6" s="16">
        <f>20%*$B$6</f>
        <v>0</v>
      </c>
      <c r="E6" s="37">
        <f>20%*$B$6</f>
        <v>0</v>
      </c>
      <c r="F6" s="16">
        <f>20%*$B$6</f>
        <v>0</v>
      </c>
    </row>
    <row r="7" spans="1:6" ht="14.4" x14ac:dyDescent="0.25">
      <c r="A7" s="6" t="s">
        <v>202</v>
      </c>
      <c r="B7" s="16"/>
      <c r="C7" s="16"/>
      <c r="D7" s="16">
        <f t="shared" ref="D7:F20" si="0">20%*$B7</f>
        <v>0</v>
      </c>
      <c r="E7" s="37">
        <f t="shared" si="0"/>
        <v>0</v>
      </c>
      <c r="F7" s="16">
        <f t="shared" si="0"/>
        <v>0</v>
      </c>
    </row>
    <row r="8" spans="1:6" ht="14.4" x14ac:dyDescent="0.25">
      <c r="A8" s="6" t="s">
        <v>203</v>
      </c>
      <c r="B8" s="16"/>
      <c r="C8" s="16"/>
      <c r="D8" s="16">
        <f t="shared" si="0"/>
        <v>0</v>
      </c>
      <c r="E8" s="37">
        <f t="shared" si="0"/>
        <v>0</v>
      </c>
      <c r="F8" s="16">
        <f t="shared" si="0"/>
        <v>0</v>
      </c>
    </row>
    <row r="9" spans="1:6" ht="14.4" x14ac:dyDescent="0.25">
      <c r="A9" s="6" t="s">
        <v>204</v>
      </c>
      <c r="B9" s="16"/>
      <c r="C9" s="16"/>
      <c r="D9" s="16">
        <f t="shared" si="0"/>
        <v>0</v>
      </c>
      <c r="E9" s="37">
        <f t="shared" si="0"/>
        <v>0</v>
      </c>
      <c r="F9" s="16">
        <f t="shared" si="0"/>
        <v>0</v>
      </c>
    </row>
    <row r="10" spans="1:6" ht="14.4" x14ac:dyDescent="0.25">
      <c r="A10" s="6" t="s">
        <v>205</v>
      </c>
      <c r="B10" s="16"/>
      <c r="C10" s="16"/>
      <c r="D10" s="16">
        <f t="shared" si="0"/>
        <v>0</v>
      </c>
      <c r="E10" s="37">
        <f t="shared" si="0"/>
        <v>0</v>
      </c>
      <c r="F10" s="16">
        <f t="shared" si="0"/>
        <v>0</v>
      </c>
    </row>
    <row r="11" spans="1:6" ht="14.4" x14ac:dyDescent="0.25">
      <c r="A11" s="6" t="s">
        <v>206</v>
      </c>
      <c r="B11" s="16"/>
      <c r="C11" s="16"/>
      <c r="D11" s="16">
        <f t="shared" si="0"/>
        <v>0</v>
      </c>
      <c r="E11" s="37">
        <f t="shared" si="0"/>
        <v>0</v>
      </c>
      <c r="F11" s="16">
        <f t="shared" si="0"/>
        <v>0</v>
      </c>
    </row>
    <row r="12" spans="1:6" ht="14.4" x14ac:dyDescent="0.25">
      <c r="A12" s="6" t="s">
        <v>207</v>
      </c>
      <c r="B12" s="16"/>
      <c r="C12" s="16"/>
      <c r="D12" s="16">
        <f t="shared" si="0"/>
        <v>0</v>
      </c>
      <c r="E12" s="37">
        <f t="shared" si="0"/>
        <v>0</v>
      </c>
      <c r="F12" s="16">
        <f t="shared" si="0"/>
        <v>0</v>
      </c>
    </row>
    <row r="13" spans="1:6" ht="14.4" x14ac:dyDescent="0.25">
      <c r="A13" s="13" t="s">
        <v>208</v>
      </c>
      <c r="B13" s="19">
        <f>SUM(B15:B15)</f>
        <v>0</v>
      </c>
      <c r="C13" s="19">
        <f>SUM(C15:C15)</f>
        <v>0</v>
      </c>
      <c r="D13" s="19">
        <f>SUM(D15:D15)</f>
        <v>0</v>
      </c>
      <c r="E13" s="57">
        <f>SUM(E15:E15)</f>
        <v>0</v>
      </c>
      <c r="F13" s="19">
        <f>SUM(F15:F15)</f>
        <v>0</v>
      </c>
    </row>
    <row r="14" spans="1:6" ht="14.4" x14ac:dyDescent="0.25">
      <c r="A14" s="6" t="s">
        <v>209</v>
      </c>
      <c r="B14" s="16">
        <v>70000</v>
      </c>
      <c r="C14" s="16"/>
      <c r="D14" s="16">
        <f t="shared" si="0"/>
        <v>14000</v>
      </c>
      <c r="E14" s="37">
        <f t="shared" si="0"/>
        <v>14000</v>
      </c>
      <c r="F14" s="16">
        <f t="shared" si="0"/>
        <v>14000</v>
      </c>
    </row>
    <row r="15" spans="1:6" ht="14.4" x14ac:dyDescent="0.25">
      <c r="A15" s="6" t="s">
        <v>210</v>
      </c>
      <c r="B15" s="16"/>
      <c r="C15" s="16"/>
      <c r="D15" s="16">
        <f t="shared" si="0"/>
        <v>0</v>
      </c>
      <c r="E15" s="37">
        <f t="shared" si="0"/>
        <v>0</v>
      </c>
      <c r="F15" s="16">
        <f t="shared" si="0"/>
        <v>0</v>
      </c>
    </row>
    <row r="16" spans="1:6" ht="14.4" x14ac:dyDescent="0.25">
      <c r="A16" s="13" t="s">
        <v>211</v>
      </c>
      <c r="B16" s="19">
        <f>SUM(B17:B18)</f>
        <v>0</v>
      </c>
      <c r="C16" s="19">
        <f>SUM(C17:C18)</f>
        <v>0</v>
      </c>
      <c r="D16" s="19">
        <f>SUM(D17:D18)</f>
        <v>0</v>
      </c>
      <c r="E16" s="57">
        <f>SUM(E17:E18)</f>
        <v>0</v>
      </c>
      <c r="F16" s="19">
        <f>SUM(F17:F18)</f>
        <v>0</v>
      </c>
    </row>
    <row r="17" spans="1:8" ht="14.4" x14ac:dyDescent="0.25">
      <c r="A17" s="6" t="s">
        <v>212</v>
      </c>
      <c r="B17" s="16">
        <v>0</v>
      </c>
      <c r="C17" s="16"/>
      <c r="D17" s="16">
        <f t="shared" si="0"/>
        <v>0</v>
      </c>
      <c r="E17" s="37">
        <f t="shared" si="0"/>
        <v>0</v>
      </c>
      <c r="F17" s="16">
        <f t="shared" si="0"/>
        <v>0</v>
      </c>
      <c r="G17" s="6"/>
    </row>
    <row r="18" spans="1:8" s="6" customFormat="1" ht="14.4" x14ac:dyDescent="0.25">
      <c r="A18" s="6" t="s">
        <v>213</v>
      </c>
      <c r="B18" s="16">
        <v>0</v>
      </c>
      <c r="C18" s="16"/>
      <c r="D18" s="16">
        <f t="shared" si="0"/>
        <v>0</v>
      </c>
      <c r="E18" s="37">
        <f t="shared" si="0"/>
        <v>0</v>
      </c>
      <c r="F18" s="16">
        <f t="shared" si="0"/>
        <v>0</v>
      </c>
      <c r="H18" s="7"/>
    </row>
    <row r="19" spans="1:8" ht="14.4" x14ac:dyDescent="0.25">
      <c r="A19" s="13" t="s">
        <v>214</v>
      </c>
      <c r="B19" s="19">
        <f>SUM(B20:B25)</f>
        <v>2300</v>
      </c>
      <c r="C19" s="19">
        <f>SUM(C20:C25)</f>
        <v>0</v>
      </c>
      <c r="D19" s="19">
        <f>SUM(D20:D25)</f>
        <v>230</v>
      </c>
      <c r="E19" s="57">
        <f>SUM(E20:E25)</f>
        <v>460</v>
      </c>
      <c r="F19" s="19">
        <f>SUM(F20:F25)</f>
        <v>460</v>
      </c>
    </row>
    <row r="20" spans="1:8" ht="14.4" x14ac:dyDescent="0.25">
      <c r="A20" s="6" t="s">
        <v>215</v>
      </c>
      <c r="B20" s="16">
        <f>(D4-C4)*350</f>
        <v>350</v>
      </c>
      <c r="C20" s="16"/>
      <c r="D20" s="16">
        <f>20%*$B20</f>
        <v>70</v>
      </c>
      <c r="E20" s="37">
        <f t="shared" si="0"/>
        <v>70</v>
      </c>
      <c r="F20" s="16">
        <f t="shared" si="0"/>
        <v>70</v>
      </c>
    </row>
    <row r="21" spans="1:8" ht="14.4" x14ac:dyDescent="0.25">
      <c r="A21" s="6" t="s">
        <v>216</v>
      </c>
      <c r="B21" s="16">
        <f>(E4-D4)*350</f>
        <v>350</v>
      </c>
      <c r="C21" s="16"/>
      <c r="D21" s="16"/>
      <c r="E21" s="37">
        <f t="shared" ref="E21:F21" si="1">20%*$B21</f>
        <v>70</v>
      </c>
      <c r="F21" s="16">
        <f t="shared" si="1"/>
        <v>70</v>
      </c>
    </row>
    <row r="22" spans="1:8" ht="14.4" x14ac:dyDescent="0.25">
      <c r="A22" s="6" t="s">
        <v>217</v>
      </c>
      <c r="B22" s="16">
        <f>(F4-E4)*350</f>
        <v>0</v>
      </c>
      <c r="C22" s="16"/>
      <c r="D22" s="16"/>
      <c r="E22" s="37"/>
      <c r="F22" s="16">
        <f t="shared" ref="C22:F26" si="2">20%*$B22</f>
        <v>0</v>
      </c>
    </row>
    <row r="23" spans="1:8" ht="14.4" x14ac:dyDescent="0.25">
      <c r="A23" s="6" t="s">
        <v>218</v>
      </c>
      <c r="B23" s="16">
        <f>(D4-C4)*800</f>
        <v>800</v>
      </c>
      <c r="C23" s="16"/>
      <c r="D23" s="16">
        <f t="shared" si="2"/>
        <v>160</v>
      </c>
      <c r="E23" s="37">
        <f t="shared" si="2"/>
        <v>160</v>
      </c>
      <c r="F23" s="16">
        <f t="shared" si="2"/>
        <v>160</v>
      </c>
    </row>
    <row r="24" spans="1:8" ht="14.4" x14ac:dyDescent="0.25">
      <c r="A24" s="6" t="s">
        <v>219</v>
      </c>
      <c r="B24" s="16">
        <f>(E4-D4)*800</f>
        <v>800</v>
      </c>
      <c r="C24" s="16"/>
      <c r="D24" s="16"/>
      <c r="E24" s="37">
        <f>20%*$B24</f>
        <v>160</v>
      </c>
      <c r="F24" s="16">
        <f t="shared" si="2"/>
        <v>160</v>
      </c>
    </row>
    <row r="25" spans="1:8" ht="14.4" x14ac:dyDescent="0.25">
      <c r="A25" s="6" t="s">
        <v>220</v>
      </c>
      <c r="B25" s="16">
        <f>(F4-E4)*800</f>
        <v>0</v>
      </c>
      <c r="C25" s="16"/>
      <c r="D25" s="16"/>
      <c r="E25" s="37"/>
      <c r="F25" s="16">
        <f t="shared" si="2"/>
        <v>0</v>
      </c>
    </row>
    <row r="26" spans="1:8" ht="14.4" x14ac:dyDescent="0.25">
      <c r="A26" s="13" t="s">
        <v>221</v>
      </c>
      <c r="B26" s="22">
        <v>5000</v>
      </c>
      <c r="C26" s="22">
        <f t="shared" si="2"/>
        <v>1000</v>
      </c>
      <c r="D26" s="22">
        <f t="shared" si="2"/>
        <v>1000</v>
      </c>
      <c r="E26" s="53">
        <f t="shared" si="2"/>
        <v>1000</v>
      </c>
      <c r="F26" s="22">
        <f t="shared" si="2"/>
        <v>1000</v>
      </c>
    </row>
    <row r="27" spans="1:8" s="13" customFormat="1" ht="14.4" x14ac:dyDescent="0.25">
      <c r="A27" s="14" t="s">
        <v>222</v>
      </c>
      <c r="B27" s="19">
        <f>B5+B13+B16+B19+B26</f>
        <v>7300</v>
      </c>
      <c r="C27" s="19">
        <f>C5+C13+C16+C19+C26</f>
        <v>1000</v>
      </c>
      <c r="D27" s="19">
        <f>D5+D13+D16+D19+D26</f>
        <v>1230</v>
      </c>
      <c r="E27" s="18">
        <f>E5+E13+E16+E19+E26</f>
        <v>1460</v>
      </c>
      <c r="F27" s="19">
        <f>F5+F13+F16+F19+F26</f>
        <v>1460</v>
      </c>
    </row>
    <row r="29" spans="1:8" ht="14.4" x14ac:dyDescent="0.25">
      <c r="B29" s="16"/>
    </row>
  </sheetData>
  <mergeCells count="1">
    <mergeCell ref="A1:F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D4:F4 B28 D28:F28 D16:F16 B16" unlockedFormula="1"/>
    <ignoredError sqref="B26 B13 E6:F6 B22 B19 D13:F13 D19:F19 D5:F5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3"/>
  <sheetViews>
    <sheetView zoomScale="180" zoomScaleNormal="180" zoomScalePageLayoutView="180" workbookViewId="0">
      <pane ySplit="3" topLeftCell="A4" activePane="bottomLeft" state="frozen"/>
      <selection pane="bottomLeft" activeCell="D12" sqref="D12"/>
    </sheetView>
  </sheetViews>
  <sheetFormatPr defaultColWidth="8.59765625" defaultRowHeight="13.8" x14ac:dyDescent="0.25"/>
  <cols>
    <col min="1" max="1" width="23.796875" style="7" bestFit="1" customWidth="1"/>
    <col min="2" max="2" width="11.59765625" style="7" customWidth="1"/>
    <col min="3" max="3" width="8" style="7" customWidth="1"/>
    <col min="4" max="4" width="10.8984375" style="7" customWidth="1"/>
    <col min="5" max="5" width="8" style="7" customWidth="1"/>
    <col min="6" max="6" width="11.3984375" style="7" customWidth="1"/>
    <col min="7" max="7" width="8.5" style="7" customWidth="1"/>
    <col min="8" max="8" width="12" style="7" customWidth="1"/>
    <col min="9" max="9" width="8.59765625" style="7"/>
    <col min="10" max="10" width="13.3984375" style="7" customWidth="1"/>
    <col min="11" max="16384" width="8.59765625" style="7"/>
  </cols>
  <sheetData>
    <row r="1" spans="1:7" ht="14.25" customHeight="1" x14ac:dyDescent="0.25">
      <c r="A1" s="274" t="s">
        <v>22</v>
      </c>
      <c r="B1" s="274"/>
      <c r="C1" s="274"/>
      <c r="D1" s="274"/>
      <c r="E1" s="274"/>
      <c r="F1" s="274"/>
      <c r="G1" s="274"/>
    </row>
    <row r="2" spans="1:7" ht="14.25" customHeight="1" x14ac:dyDescent="0.25">
      <c r="A2" s="274"/>
      <c r="B2" s="274"/>
      <c r="C2" s="274"/>
      <c r="D2" s="274"/>
      <c r="E2" s="274"/>
      <c r="F2" s="274"/>
      <c r="G2" s="274"/>
    </row>
    <row r="3" spans="1:7" ht="25.5" customHeight="1" x14ac:dyDescent="0.25">
      <c r="A3" s="12"/>
      <c r="B3" s="5" t="s">
        <v>23</v>
      </c>
      <c r="C3" s="5" t="s">
        <v>24</v>
      </c>
      <c r="D3" s="5" t="s">
        <v>25</v>
      </c>
      <c r="E3" s="5" t="s">
        <v>24</v>
      </c>
      <c r="F3" s="5" t="s">
        <v>26</v>
      </c>
      <c r="G3" s="5" t="s">
        <v>24</v>
      </c>
    </row>
    <row r="4" spans="1:7" ht="14.4" x14ac:dyDescent="0.25">
      <c r="A4" s="51" t="s">
        <v>229</v>
      </c>
      <c r="B4" s="16">
        <f>(1-C4)*'Summary 3yr P&amp;L'!C5</f>
        <v>773136.72043010744</v>
      </c>
      <c r="C4" s="207">
        <v>0.27</v>
      </c>
      <c r="D4" s="15">
        <f>(1-E4)*'Summary 3yr P&amp;L'!E5</f>
        <v>1207683.884907834</v>
      </c>
      <c r="E4" s="208">
        <f>C4</f>
        <v>0.27</v>
      </c>
      <c r="F4" s="16">
        <f>(1-G4)*'Summary 3yr P&amp;L'!G5</f>
        <v>1701227.9281105988</v>
      </c>
      <c r="G4" s="207">
        <f>E4</f>
        <v>0.27</v>
      </c>
    </row>
    <row r="5" spans="1:7" ht="14.4" x14ac:dyDescent="0.25">
      <c r="A5" s="52" t="s">
        <v>230</v>
      </c>
      <c r="B5" s="16">
        <f>(1-C5)*'Summary 3yr P&amp;L'!C6</f>
        <v>0</v>
      </c>
      <c r="C5" s="207">
        <v>0.35</v>
      </c>
      <c r="D5" s="15">
        <f>(1-E5)*'Summary 3yr P&amp;L'!E6</f>
        <v>0</v>
      </c>
      <c r="E5" s="208">
        <f>C5</f>
        <v>0.35</v>
      </c>
      <c r="F5" s="16">
        <f>(1-G5)*'Summary 3yr P&amp;L'!G6</f>
        <v>0</v>
      </c>
      <c r="G5" s="207">
        <f>E5</f>
        <v>0.35</v>
      </c>
    </row>
    <row r="6" spans="1:7" s="13" customFormat="1" ht="14.4" x14ac:dyDescent="0.25">
      <c r="A6" s="28" t="s">
        <v>27</v>
      </c>
      <c r="B6" s="27">
        <f>SUM(B4:B5)</f>
        <v>773136.72043010744</v>
      </c>
      <c r="C6" s="27"/>
      <c r="D6" s="26">
        <f>SUM(D4:D5)</f>
        <v>1207683.884907834</v>
      </c>
      <c r="E6" s="26"/>
      <c r="F6" s="27">
        <f>SUM(F4:F5)</f>
        <v>1701227.9281105988</v>
      </c>
      <c r="G6" s="27"/>
    </row>
    <row r="16" spans="1:7" x14ac:dyDescent="0.25">
      <c r="B16" s="203"/>
      <c r="C16" s="203"/>
    </row>
    <row r="17" spans="2:3" x14ac:dyDescent="0.25">
      <c r="B17" s="203"/>
      <c r="C17" s="203"/>
    </row>
    <row r="18" spans="2:3" x14ac:dyDescent="0.25">
      <c r="B18" s="203"/>
      <c r="C18" s="203"/>
    </row>
    <row r="19" spans="2:3" x14ac:dyDescent="0.25">
      <c r="B19" s="203"/>
      <c r="C19" s="203"/>
    </row>
    <row r="20" spans="2:3" x14ac:dyDescent="0.25">
      <c r="B20" s="203"/>
      <c r="C20" s="203"/>
    </row>
    <row r="21" spans="2:3" x14ac:dyDescent="0.25">
      <c r="B21" s="204"/>
      <c r="C21" s="203"/>
    </row>
    <row r="22" spans="2:3" x14ac:dyDescent="0.25">
      <c r="B22" s="203"/>
      <c r="C22" s="203"/>
    </row>
    <row r="23" spans="2:3" x14ac:dyDescent="0.25">
      <c r="B23" s="203"/>
      <c r="C23" s="203"/>
    </row>
  </sheetData>
  <mergeCells count="1">
    <mergeCell ref="A1:G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B8:G9 B4 D4 B7:G7 C6:E6 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45"/>
  <sheetViews>
    <sheetView zoomScale="148" zoomScaleNormal="85" zoomScalePageLayoutView="220" workbookViewId="0">
      <pane ySplit="3" topLeftCell="A4" activePane="bottomLeft" state="frozen"/>
      <selection activeCell="B1" sqref="B1"/>
      <selection pane="bottomLeft" activeCell="C45" sqref="C45"/>
    </sheetView>
  </sheetViews>
  <sheetFormatPr defaultColWidth="8.59765625" defaultRowHeight="13.8" x14ac:dyDescent="0.25"/>
  <cols>
    <col min="1" max="1" width="32.09765625" style="63" bestFit="1" customWidth="1"/>
    <col min="2" max="2" width="13.59765625" style="201" customWidth="1"/>
    <col min="3" max="3" width="6.3984375" style="201" customWidth="1"/>
    <col min="4" max="4" width="13.8984375" style="201" customWidth="1"/>
    <col min="5" max="5" width="6.09765625" style="201" customWidth="1"/>
    <col min="6" max="6" width="14.09765625" style="201" customWidth="1"/>
    <col min="7" max="7" width="6.3984375" style="201" customWidth="1"/>
    <col min="8" max="8" width="10" style="63" customWidth="1"/>
    <col min="9" max="16384" width="8.59765625" style="63"/>
  </cols>
  <sheetData>
    <row r="1" spans="1:9" x14ac:dyDescent="0.25">
      <c r="A1" s="274"/>
      <c r="B1" s="274"/>
      <c r="C1" s="274"/>
      <c r="D1" s="274"/>
      <c r="E1" s="274"/>
      <c r="F1" s="274"/>
      <c r="G1" s="274"/>
    </row>
    <row r="2" spans="1:9" x14ac:dyDescent="0.25">
      <c r="A2" s="274"/>
      <c r="B2" s="274"/>
      <c r="C2" s="274"/>
      <c r="D2" s="274"/>
      <c r="E2" s="274"/>
      <c r="F2" s="274"/>
      <c r="G2" s="274"/>
    </row>
    <row r="3" spans="1:9" ht="23.25" customHeight="1" thickBot="1" x14ac:dyDescent="0.3">
      <c r="A3" s="12"/>
      <c r="B3" s="277" t="s">
        <v>2</v>
      </c>
      <c r="C3" s="277"/>
      <c r="D3" s="277" t="s">
        <v>3</v>
      </c>
      <c r="E3" s="277"/>
      <c r="F3" s="277" t="s">
        <v>4</v>
      </c>
      <c r="G3" s="277"/>
    </row>
    <row r="4" spans="1:9" s="64" customFormat="1" ht="16.5" customHeight="1" thickTop="1" x14ac:dyDescent="0.25">
      <c r="A4" s="244" t="s">
        <v>28</v>
      </c>
      <c r="B4" s="278">
        <f>B18</f>
        <v>1059091.3978494622</v>
      </c>
      <c r="C4" s="278"/>
      <c r="D4" s="278">
        <f>D18</f>
        <v>1654361.4861751152</v>
      </c>
      <c r="E4" s="278"/>
      <c r="F4" s="278">
        <f>F18</f>
        <v>2330449.2165898615</v>
      </c>
      <c r="G4" s="279"/>
      <c r="H4" s="13"/>
    </row>
    <row r="5" spans="1:9" s="64" customFormat="1" ht="18.75" customHeight="1" x14ac:dyDescent="0.25">
      <c r="A5" s="245" t="s">
        <v>29</v>
      </c>
      <c r="B5" s="66">
        <f>SUM(B6:B14)</f>
        <v>851133.33333333337</v>
      </c>
      <c r="C5" s="66"/>
      <c r="D5" s="251">
        <f>SUM(D6:D14)</f>
        <v>1220768.0080482897</v>
      </c>
      <c r="E5" s="3"/>
      <c r="F5" s="66">
        <f>SUM(F6:F14)</f>
        <v>1618307.5630252101</v>
      </c>
      <c r="G5" s="252"/>
      <c r="H5" s="253"/>
    </row>
    <row r="6" spans="1:9" ht="14.4" x14ac:dyDescent="0.25">
      <c r="A6" s="180" t="s">
        <v>232</v>
      </c>
      <c r="B6" s="66">
        <v>200000</v>
      </c>
      <c r="C6" s="210">
        <v>2.5000000000000001E-2</v>
      </c>
      <c r="D6" s="251">
        <f>B6*1.5</f>
        <v>300000</v>
      </c>
      <c r="E6" s="212">
        <f>C6+0.001</f>
        <v>2.6000000000000002E-2</v>
      </c>
      <c r="F6" s="66">
        <f>B6*2</f>
        <v>400000</v>
      </c>
      <c r="G6" s="211">
        <f>E6+0.001</f>
        <v>2.7000000000000003E-2</v>
      </c>
      <c r="H6" s="65"/>
    </row>
    <row r="7" spans="1:9" ht="14.4" x14ac:dyDescent="0.25">
      <c r="A7" s="180" t="s">
        <v>233</v>
      </c>
      <c r="B7" s="66">
        <v>300000</v>
      </c>
      <c r="C7" s="210">
        <v>0.03</v>
      </c>
      <c r="D7" s="251">
        <f>B7*1.5</f>
        <v>450000</v>
      </c>
      <c r="E7" s="212">
        <f t="shared" ref="E7:E14" si="0">C7+0.001</f>
        <v>3.1E-2</v>
      </c>
      <c r="F7" s="66">
        <f t="shared" ref="F7" si="1">B7*2</f>
        <v>600000</v>
      </c>
      <c r="G7" s="211">
        <f t="shared" ref="G7:G14" si="2">E7+0.001</f>
        <v>3.2000000000000001E-2</v>
      </c>
      <c r="H7" s="65"/>
    </row>
    <row r="8" spans="1:9" ht="14.4" x14ac:dyDescent="0.3">
      <c r="A8" s="180" t="s">
        <v>235</v>
      </c>
      <c r="B8" s="66">
        <f>Marketing!B6/0.35</f>
        <v>102857.14285714287</v>
      </c>
      <c r="C8" s="210">
        <v>1.9E-2</v>
      </c>
      <c r="D8" s="254">
        <f>Marketing!C6/0.35</f>
        <v>154285.71428571429</v>
      </c>
      <c r="E8" s="212">
        <f t="shared" si="0"/>
        <v>0.02</v>
      </c>
      <c r="F8" s="66">
        <f>Marketing!D6/0.35</f>
        <v>205714.28571428574</v>
      </c>
      <c r="G8" s="211">
        <f t="shared" si="2"/>
        <v>2.1000000000000001E-2</v>
      </c>
      <c r="H8" s="65"/>
      <c r="I8" s="302" t="s">
        <v>234</v>
      </c>
    </row>
    <row r="9" spans="1:9" ht="14.4" x14ac:dyDescent="0.3">
      <c r="A9" s="180" t="s">
        <v>236</v>
      </c>
      <c r="B9" s="66">
        <f>Marketing!B7/0.09</f>
        <v>133333.33333333334</v>
      </c>
      <c r="C9" s="210">
        <v>7.0000000000000001E-3</v>
      </c>
      <c r="D9" s="251">
        <f>Marketing!C7/0.09</f>
        <v>160000</v>
      </c>
      <c r="E9" s="212">
        <f t="shared" si="0"/>
        <v>8.0000000000000002E-3</v>
      </c>
      <c r="F9" s="66">
        <f>Marketing!D7/0.09</f>
        <v>200000</v>
      </c>
      <c r="G9" s="211">
        <f t="shared" si="2"/>
        <v>9.0000000000000011E-3</v>
      </c>
      <c r="H9" s="65"/>
      <c r="I9" s="302" t="s">
        <v>237</v>
      </c>
    </row>
    <row r="10" spans="1:9" ht="13.5" customHeight="1" x14ac:dyDescent="0.25">
      <c r="A10" s="180" t="s">
        <v>32</v>
      </c>
      <c r="B10" s="66">
        <f>Marketing!B8/0.2</f>
        <v>0</v>
      </c>
      <c r="C10" s="210">
        <v>3.0000000000000001E-3</v>
      </c>
      <c r="D10" s="251">
        <f>Marketing!C8/0.2</f>
        <v>0</v>
      </c>
      <c r="E10" s="212">
        <f t="shared" si="0"/>
        <v>4.0000000000000001E-3</v>
      </c>
      <c r="F10" s="66">
        <f>Marketing!D8/0.2</f>
        <v>0</v>
      </c>
      <c r="G10" s="211">
        <f t="shared" si="2"/>
        <v>5.0000000000000001E-3</v>
      </c>
      <c r="H10" s="65"/>
    </row>
    <row r="11" spans="1:9" ht="14.4" x14ac:dyDescent="0.25">
      <c r="A11" s="180" t="s">
        <v>238</v>
      </c>
      <c r="B11" s="66">
        <f>Marketing!B10/0.35</f>
        <v>34285.71428571429</v>
      </c>
      <c r="C11" s="210">
        <v>1.6E-2</v>
      </c>
      <c r="D11" s="251">
        <f>Marketing!C10/0.35</f>
        <v>41142.857142857145</v>
      </c>
      <c r="E11" s="212">
        <f t="shared" si="0"/>
        <v>1.7000000000000001E-2</v>
      </c>
      <c r="F11" s="66">
        <f>Marketing!D10/0.35</f>
        <v>51428.571428571435</v>
      </c>
      <c r="G11" s="211">
        <f t="shared" si="2"/>
        <v>1.8000000000000002E-2</v>
      </c>
      <c r="H11" s="65"/>
    </row>
    <row r="12" spans="1:9" ht="14.4" x14ac:dyDescent="0.3">
      <c r="A12" s="180" t="s">
        <v>33</v>
      </c>
      <c r="B12" s="66">
        <f>Marketing!B14/(10%*B17)/'Επισκέψεις, Παραγγελίες, Τζίρος'!C12</f>
        <v>70857.142857142855</v>
      </c>
      <c r="C12" s="210">
        <v>1.4999999999999999E-2</v>
      </c>
      <c r="D12" s="251">
        <f>Marketing!C14/(10%*D17)/'Επισκέψεις, Παραγγελίες, Τζίρος'!E12</f>
        <v>98239.436619718297</v>
      </c>
      <c r="E12" s="212">
        <f t="shared" si="0"/>
        <v>1.6E-2</v>
      </c>
      <c r="F12" s="66">
        <f>Marketing!D14/(10%*F17)/'Επισκέψεις, Παραγγελίες, Τζίρος'!G12</f>
        <v>136764.70588235292</v>
      </c>
      <c r="G12" s="211">
        <f t="shared" si="2"/>
        <v>1.7000000000000001E-2</v>
      </c>
      <c r="H12" s="65"/>
      <c r="I12" s="302" t="s">
        <v>239</v>
      </c>
    </row>
    <row r="13" spans="1:9" ht="14.4" x14ac:dyDescent="0.25">
      <c r="A13" s="180" t="s">
        <v>34</v>
      </c>
      <c r="B13" s="66">
        <f>(10000*20%*10%)*12*2</f>
        <v>4800</v>
      </c>
      <c r="C13" s="210">
        <v>0.04</v>
      </c>
      <c r="D13" s="251">
        <f>(20000*20%*10%)*12*2</f>
        <v>9600</v>
      </c>
      <c r="E13" s="212">
        <f t="shared" si="0"/>
        <v>4.1000000000000002E-2</v>
      </c>
      <c r="F13" s="66">
        <f>(30000*20%*10%)*12*2</f>
        <v>14400</v>
      </c>
      <c r="G13" s="211">
        <f t="shared" si="2"/>
        <v>4.2000000000000003E-2</v>
      </c>
      <c r="H13" s="65"/>
    </row>
    <row r="14" spans="1:9" s="64" customFormat="1" ht="14.4" x14ac:dyDescent="0.25">
      <c r="A14" s="180" t="s">
        <v>35</v>
      </c>
      <c r="B14" s="66">
        <v>5000</v>
      </c>
      <c r="C14" s="210">
        <v>1.4E-2</v>
      </c>
      <c r="D14" s="251">
        <f>B14*1.5</f>
        <v>7500</v>
      </c>
      <c r="E14" s="212">
        <f t="shared" si="0"/>
        <v>1.4999999999999999E-2</v>
      </c>
      <c r="F14" s="66">
        <f>B14*2</f>
        <v>10000</v>
      </c>
      <c r="G14" s="211">
        <f t="shared" si="2"/>
        <v>1.6E-2</v>
      </c>
      <c r="H14" s="65"/>
      <c r="I14" s="6" t="s">
        <v>251</v>
      </c>
    </row>
    <row r="15" spans="1:9" ht="14.4" x14ac:dyDescent="0.25">
      <c r="A15" s="245" t="s">
        <v>36</v>
      </c>
      <c r="B15" s="66">
        <f>SUMPRODUCT(B6:B14,C6:C14)</f>
        <v>18761.047619047615</v>
      </c>
      <c r="C15" s="66"/>
      <c r="D15" s="251">
        <f>SUMPRODUCT(D6:D14,E6:E14)</f>
        <v>28893.073843058351</v>
      </c>
      <c r="E15" s="251"/>
      <c r="F15" s="66">
        <f>SUMPRODUCT(F6:F14,G6:G14)</f>
        <v>40135.514285714286</v>
      </c>
      <c r="G15" s="255"/>
      <c r="H15" s="13"/>
    </row>
    <row r="16" spans="1:9" ht="14.4" x14ac:dyDescent="0.25">
      <c r="A16" s="245" t="s">
        <v>37</v>
      </c>
      <c r="B16" s="66">
        <f>B15/365</f>
        <v>51.400130463144151</v>
      </c>
      <c r="C16" s="66"/>
      <c r="D16" s="251">
        <f>D15/365</f>
        <v>79.159106419337945</v>
      </c>
      <c r="E16" s="251"/>
      <c r="F16" s="66">
        <f>F15/365</f>
        <v>109.96031311154599</v>
      </c>
      <c r="G16" s="255"/>
    </row>
    <row r="17" spans="1:8" ht="14.4" x14ac:dyDescent="0.25">
      <c r="A17" s="245" t="s">
        <v>231</v>
      </c>
      <c r="B17" s="1">
        <f>70/1.24</f>
        <v>56.451612903225808</v>
      </c>
      <c r="C17" s="1"/>
      <c r="D17" s="3">
        <f>71/1.24</f>
        <v>57.258064516129032</v>
      </c>
      <c r="E17" s="3"/>
      <c r="F17" s="1">
        <f>72/1.24</f>
        <v>58.064516129032256</v>
      </c>
      <c r="G17" s="252"/>
    </row>
    <row r="18" spans="1:8" ht="14.4" x14ac:dyDescent="0.25">
      <c r="A18" s="246" t="s">
        <v>5</v>
      </c>
      <c r="B18" s="256">
        <f>B17*B15</f>
        <v>1059091.3978494622</v>
      </c>
      <c r="C18" s="256"/>
      <c r="D18" s="257">
        <f>D17*D15</f>
        <v>1654361.4861751152</v>
      </c>
      <c r="E18" s="257"/>
      <c r="F18" s="256">
        <f>F17*F15</f>
        <v>2330449.2165898615</v>
      </c>
      <c r="G18" s="258"/>
    </row>
    <row r="19" spans="1:8" ht="15" thickBot="1" x14ac:dyDescent="0.3">
      <c r="A19" s="247" t="s">
        <v>38</v>
      </c>
      <c r="B19" s="259">
        <f>B15/B5</f>
        <v>2.2042430820530604E-2</v>
      </c>
      <c r="C19" s="260"/>
      <c r="D19" s="259">
        <f>D15/D5</f>
        <v>2.3667948088884908E-2</v>
      </c>
      <c r="E19" s="260"/>
      <c r="F19" s="259">
        <f>F15/F5</f>
        <v>2.4800918689823273E-2</v>
      </c>
      <c r="G19" s="261"/>
    </row>
    <row r="20" spans="1:8" ht="15" thickTop="1" x14ac:dyDescent="0.25">
      <c r="A20" s="262"/>
      <c r="B20" s="263"/>
      <c r="C20" s="264"/>
      <c r="D20" s="263"/>
      <c r="E20" s="264"/>
      <c r="F20" s="263"/>
      <c r="G20" s="264"/>
    </row>
    <row r="21" spans="1:8" ht="15" thickBot="1" x14ac:dyDescent="0.3">
      <c r="A21" s="262"/>
      <c r="B21" s="263"/>
      <c r="C21" s="264"/>
      <c r="D21" s="263"/>
      <c r="E21" s="264"/>
      <c r="F21" s="263"/>
      <c r="G21" s="264"/>
      <c r="H21" s="167"/>
    </row>
    <row r="22" spans="1:8" s="64" customFormat="1" ht="15" thickTop="1" x14ac:dyDescent="0.25">
      <c r="A22" s="179" t="s">
        <v>39</v>
      </c>
      <c r="B22" s="275">
        <f>B36</f>
        <v>0</v>
      </c>
      <c r="C22" s="275"/>
      <c r="D22" s="275">
        <f>D36</f>
        <v>0</v>
      </c>
      <c r="E22" s="275"/>
      <c r="F22" s="275">
        <f>F36</f>
        <v>0</v>
      </c>
      <c r="G22" s="276"/>
      <c r="H22" s="63"/>
    </row>
    <row r="23" spans="1:8" ht="14.4" x14ac:dyDescent="0.25">
      <c r="A23" s="245" t="s">
        <v>29</v>
      </c>
      <c r="B23" s="66">
        <f>SUM(B24:B31)</f>
        <v>0</v>
      </c>
      <c r="C23" s="66"/>
      <c r="D23" s="251">
        <f>SUM(D24:D31)</f>
        <v>0</v>
      </c>
      <c r="E23" s="3"/>
      <c r="F23" s="66">
        <f>SUM(F24:F31)</f>
        <v>0</v>
      </c>
      <c r="G23" s="252"/>
    </row>
    <row r="24" spans="1:8" ht="14.4" x14ac:dyDescent="0.25">
      <c r="A24" s="180" t="s">
        <v>30</v>
      </c>
      <c r="B24" s="66">
        <v>0</v>
      </c>
      <c r="C24" s="210">
        <v>1.7999999999999999E-2</v>
      </c>
      <c r="D24" s="251">
        <f>B24*1.6</f>
        <v>0</v>
      </c>
      <c r="E24" s="212">
        <f>C24+0.001</f>
        <v>1.9E-2</v>
      </c>
      <c r="F24" s="66">
        <f>D24*1.6</f>
        <v>0</v>
      </c>
      <c r="G24" s="211">
        <f>E24+0.001</f>
        <v>0.02</v>
      </c>
    </row>
    <row r="25" spans="1:8" ht="14.4" x14ac:dyDescent="0.25">
      <c r="A25" s="180" t="s">
        <v>31</v>
      </c>
      <c r="B25" s="66">
        <v>0</v>
      </c>
      <c r="C25" s="210">
        <v>2.4E-2</v>
      </c>
      <c r="D25" s="251">
        <f t="shared" ref="D25:F25" si="3">B25*1.6</f>
        <v>0</v>
      </c>
      <c r="E25" s="212">
        <f t="shared" ref="E25:G32" si="4">C25+0.001</f>
        <v>2.5000000000000001E-2</v>
      </c>
      <c r="F25" s="66">
        <f t="shared" si="3"/>
        <v>0</v>
      </c>
      <c r="G25" s="211">
        <f t="shared" si="4"/>
        <v>2.6000000000000002E-2</v>
      </c>
    </row>
    <row r="26" spans="1:8" ht="13.5" customHeight="1" x14ac:dyDescent="0.25">
      <c r="A26" s="180" t="s">
        <v>40</v>
      </c>
      <c r="B26" s="66">
        <f>Marketing!B19/0.4</f>
        <v>0</v>
      </c>
      <c r="C26" s="210">
        <v>1.7000000000000001E-2</v>
      </c>
      <c r="D26" s="254">
        <f>Marketing!C19/0.4</f>
        <v>0</v>
      </c>
      <c r="E26" s="212">
        <f t="shared" si="4"/>
        <v>1.8000000000000002E-2</v>
      </c>
      <c r="F26" s="66">
        <f>Marketing!D19/0.4</f>
        <v>0</v>
      </c>
      <c r="G26" s="211">
        <f t="shared" si="4"/>
        <v>1.9000000000000003E-2</v>
      </c>
    </row>
    <row r="27" spans="1:8" ht="14.4" x14ac:dyDescent="0.25">
      <c r="A27" s="180" t="s">
        <v>41</v>
      </c>
      <c r="B27" s="66">
        <f>Marketing!B20/0.13</f>
        <v>0</v>
      </c>
      <c r="C27" s="210">
        <v>5.0000000000000001E-3</v>
      </c>
      <c r="D27" s="251">
        <f>Marketing!C20/0.13</f>
        <v>0</v>
      </c>
      <c r="E27" s="212">
        <f t="shared" si="4"/>
        <v>6.0000000000000001E-3</v>
      </c>
      <c r="F27" s="66">
        <f>Marketing!D20/0.13</f>
        <v>0</v>
      </c>
      <c r="G27" s="211">
        <f t="shared" si="4"/>
        <v>7.0000000000000001E-3</v>
      </c>
    </row>
    <row r="28" spans="1:8" ht="14.4" x14ac:dyDescent="0.25">
      <c r="A28" s="180" t="s">
        <v>42</v>
      </c>
      <c r="B28" s="66">
        <f>Marketing!B21/0.35</f>
        <v>0</v>
      </c>
      <c r="C28" s="210">
        <v>2E-3</v>
      </c>
      <c r="D28" s="251">
        <f>Marketing!C21/0.35</f>
        <v>0</v>
      </c>
      <c r="E28" s="212">
        <f t="shared" si="4"/>
        <v>3.0000000000000001E-3</v>
      </c>
      <c r="F28" s="66">
        <f>Marketing!D21/0.35</f>
        <v>0</v>
      </c>
      <c r="G28" s="211">
        <f t="shared" si="4"/>
        <v>4.0000000000000001E-3</v>
      </c>
    </row>
    <row r="29" spans="1:8" ht="14.4" x14ac:dyDescent="0.25">
      <c r="A29" s="180" t="s">
        <v>43</v>
      </c>
      <c r="B29" s="66">
        <f>Marketing!B23/0.5</f>
        <v>0</v>
      </c>
      <c r="C29" s="210">
        <v>1.4999999999999999E-2</v>
      </c>
      <c r="D29" s="251">
        <f>Marketing!C23/0.5</f>
        <v>0</v>
      </c>
      <c r="E29" s="212">
        <f t="shared" si="4"/>
        <v>1.6E-2</v>
      </c>
      <c r="F29" s="66">
        <f>Marketing!D23/0.5</f>
        <v>0</v>
      </c>
      <c r="G29" s="211">
        <f t="shared" si="4"/>
        <v>1.7000000000000001E-2</v>
      </c>
    </row>
    <row r="30" spans="1:8" ht="14.4" x14ac:dyDescent="0.25">
      <c r="A30" s="180" t="s">
        <v>33</v>
      </c>
      <c r="B30" s="66">
        <f>Marketing!B27/(10%*B35)/'Επισκέψεις, Παραγγελίες, Τζίρος'!C30</f>
        <v>0</v>
      </c>
      <c r="C30" s="210">
        <v>1.7999999999999999E-2</v>
      </c>
      <c r="D30" s="251">
        <f>Marketing!C27/(10%*D35)/'Επισκέψεις, Παραγγελίες, Τζίρος'!E30</f>
        <v>0</v>
      </c>
      <c r="E30" s="212">
        <f t="shared" si="4"/>
        <v>1.9E-2</v>
      </c>
      <c r="F30" s="66">
        <f>Marketing!D27/(10%*F35)/'Επισκέψεις, Παραγγελίες, Τζίρος'!G30</f>
        <v>0</v>
      </c>
      <c r="G30" s="211">
        <f t="shared" si="4"/>
        <v>0.02</v>
      </c>
    </row>
    <row r="31" spans="1:8" s="64" customFormat="1" ht="14.4" x14ac:dyDescent="0.25">
      <c r="A31" s="180" t="s">
        <v>34</v>
      </c>
      <c r="B31" s="66">
        <v>0</v>
      </c>
      <c r="C31" s="210">
        <v>3.5000000000000003E-2</v>
      </c>
      <c r="D31" s="251">
        <v>0</v>
      </c>
      <c r="E31" s="212">
        <f t="shared" si="4"/>
        <v>3.6000000000000004E-2</v>
      </c>
      <c r="F31" s="66">
        <v>0</v>
      </c>
      <c r="G31" s="211">
        <f t="shared" si="4"/>
        <v>3.7000000000000005E-2</v>
      </c>
      <c r="H31" s="63"/>
    </row>
    <row r="32" spans="1:8" ht="14.4" x14ac:dyDescent="0.25">
      <c r="A32" s="180" t="s">
        <v>35</v>
      </c>
      <c r="B32" s="66">
        <v>0</v>
      </c>
      <c r="C32" s="210">
        <v>1.2E-2</v>
      </c>
      <c r="D32" s="251">
        <f>B32*1.6</f>
        <v>0</v>
      </c>
      <c r="E32" s="212">
        <f t="shared" si="4"/>
        <v>1.3000000000000001E-2</v>
      </c>
      <c r="F32" s="66">
        <f>D32*1.6</f>
        <v>0</v>
      </c>
      <c r="G32" s="211">
        <f t="shared" si="4"/>
        <v>1.4000000000000002E-2</v>
      </c>
    </row>
    <row r="33" spans="1:8" ht="14.4" x14ac:dyDescent="0.25">
      <c r="A33" s="245" t="s">
        <v>36</v>
      </c>
      <c r="B33" s="66">
        <f>SUMPRODUCT(B24:B32,C24:C32)</f>
        <v>0</v>
      </c>
      <c r="C33" s="66"/>
      <c r="D33" s="251">
        <f>SUMPRODUCT(D24:D32,E24:E32)</f>
        <v>0</v>
      </c>
      <c r="E33" s="251"/>
      <c r="F33" s="66">
        <f>SUMPRODUCT(F24:F32,G24:G32)</f>
        <v>0</v>
      </c>
      <c r="G33" s="255"/>
      <c r="H33" s="13"/>
    </row>
    <row r="34" spans="1:8" ht="14.4" x14ac:dyDescent="0.25">
      <c r="A34" s="245" t="s">
        <v>37</v>
      </c>
      <c r="B34" s="66">
        <f>B33/365</f>
        <v>0</v>
      </c>
      <c r="C34" s="66"/>
      <c r="D34" s="251">
        <f>D33/365</f>
        <v>0</v>
      </c>
      <c r="E34" s="251"/>
      <c r="F34" s="66">
        <f>F33/365</f>
        <v>0</v>
      </c>
      <c r="G34" s="255"/>
    </row>
    <row r="35" spans="1:8" ht="14.4" x14ac:dyDescent="0.25">
      <c r="A35" s="245" t="s">
        <v>231</v>
      </c>
      <c r="B35" s="1">
        <v>70</v>
      </c>
      <c r="C35" s="1"/>
      <c r="D35" s="3">
        <v>71</v>
      </c>
      <c r="E35" s="3"/>
      <c r="F35" s="1">
        <v>72</v>
      </c>
      <c r="G35" s="252"/>
    </row>
    <row r="36" spans="1:8" ht="14.4" x14ac:dyDescent="0.25">
      <c r="A36" s="246" t="s">
        <v>5</v>
      </c>
      <c r="B36" s="256">
        <f>B35*B33</f>
        <v>0</v>
      </c>
      <c r="C36" s="256"/>
      <c r="D36" s="257">
        <f>D35*D33</f>
        <v>0</v>
      </c>
      <c r="E36" s="257"/>
      <c r="F36" s="256">
        <f>F35*F33</f>
        <v>0</v>
      </c>
      <c r="G36" s="258"/>
    </row>
    <row r="37" spans="1:8" s="64" customFormat="1" ht="18" customHeight="1" thickBot="1" x14ac:dyDescent="0.3">
      <c r="A37" s="247" t="s">
        <v>38</v>
      </c>
      <c r="B37" s="259" t="e">
        <f>B33/B23</f>
        <v>#DIV/0!</v>
      </c>
      <c r="C37" s="260"/>
      <c r="D37" s="259" t="e">
        <f>D33/D23</f>
        <v>#DIV/0!</v>
      </c>
      <c r="E37" s="260"/>
      <c r="F37" s="259" t="e">
        <f>F33/F23</f>
        <v>#DIV/0!</v>
      </c>
      <c r="G37" s="261"/>
      <c r="H37" s="63"/>
    </row>
    <row r="38" spans="1:8" s="64" customFormat="1" ht="18" customHeight="1" thickTop="1" x14ac:dyDescent="0.25">
      <c r="A38" s="14"/>
      <c r="B38" s="265"/>
      <c r="C38" s="175"/>
      <c r="D38" s="265"/>
      <c r="E38" s="175"/>
      <c r="F38" s="265"/>
      <c r="G38" s="175"/>
      <c r="H38" s="63"/>
    </row>
    <row r="39" spans="1:8" s="64" customFormat="1" ht="19.5" customHeight="1" thickBot="1" x14ac:dyDescent="0.3">
      <c r="A39" s="243" t="s">
        <v>44</v>
      </c>
      <c r="B39" s="266">
        <f>B18+B36</f>
        <v>1059091.3978494622</v>
      </c>
      <c r="C39" s="267"/>
      <c r="D39" s="267">
        <f>D18+D36</f>
        <v>1654361.4861751152</v>
      </c>
      <c r="E39" s="267"/>
      <c r="F39" s="267">
        <f>F18+F36</f>
        <v>2330449.2165898615</v>
      </c>
      <c r="G39" s="267"/>
      <c r="H39" s="13"/>
    </row>
    <row r="40" spans="1:8" s="64" customFormat="1" ht="19.5" customHeight="1" thickTop="1" thickBot="1" x14ac:dyDescent="0.3">
      <c r="A40" s="243" t="s">
        <v>36</v>
      </c>
      <c r="B40" s="266">
        <f>B15+B33</f>
        <v>18761.047619047615</v>
      </c>
      <c r="C40" s="268"/>
      <c r="D40" s="267">
        <f>D15+D33</f>
        <v>28893.073843058351</v>
      </c>
      <c r="E40" s="268"/>
      <c r="F40" s="267">
        <f>F15+F33</f>
        <v>40135.514285714286</v>
      </c>
      <c r="G40" s="268"/>
      <c r="H40" s="13"/>
    </row>
    <row r="41" spans="1:8" ht="19.5" customHeight="1" thickTop="1" thickBot="1" x14ac:dyDescent="0.3">
      <c r="A41" s="243" t="s">
        <v>45</v>
      </c>
      <c r="B41" s="268">
        <f t="shared" ref="B41" si="5">B40/365</f>
        <v>51.400130463144151</v>
      </c>
      <c r="C41" s="268"/>
      <c r="D41" s="268">
        <f t="shared" ref="D41:F41" si="6">D40/365</f>
        <v>79.159106419337945</v>
      </c>
      <c r="E41" s="268"/>
      <c r="F41" s="268">
        <f t="shared" si="6"/>
        <v>109.96031311154599</v>
      </c>
      <c r="G41" s="268"/>
      <c r="H41" s="13"/>
    </row>
    <row r="42" spans="1:8" ht="15.6" thickTop="1" thickBot="1" x14ac:dyDescent="0.3">
      <c r="A42" s="248" t="s">
        <v>46</v>
      </c>
      <c r="B42" s="269">
        <f>(B15+B33)/(B5+B23)</f>
        <v>2.2042430820530604E-2</v>
      </c>
      <c r="C42" s="270"/>
      <c r="D42" s="270">
        <f>(D15+D33)/(D5+D23)</f>
        <v>2.3667948088884908E-2</v>
      </c>
      <c r="E42" s="270"/>
      <c r="F42" s="270">
        <f>(F15+F33)/(F5+F23)</f>
        <v>2.4800918689823273E-2</v>
      </c>
      <c r="G42" s="271"/>
    </row>
    <row r="45" spans="1:8" x14ac:dyDescent="0.25">
      <c r="A45" s="63" t="s">
        <v>47</v>
      </c>
    </row>
  </sheetData>
  <mergeCells count="10">
    <mergeCell ref="B22:C22"/>
    <mergeCell ref="D22:E22"/>
    <mergeCell ref="F22:G22"/>
    <mergeCell ref="A1:G2"/>
    <mergeCell ref="B3:C3"/>
    <mergeCell ref="D3:E3"/>
    <mergeCell ref="F3:G3"/>
    <mergeCell ref="B4:C4"/>
    <mergeCell ref="D4:E4"/>
    <mergeCell ref="F4:G4"/>
  </mergeCells>
  <phoneticPr fontId="2" type="noConversion"/>
  <pageMargins left="0.7" right="0.7" top="0.75" bottom="0.75" header="0.3" footer="0.3"/>
  <pageSetup paperSize="9" orientation="portrait" r:id="rId1"/>
  <ignoredErrors>
    <ignoredError sqref="B4:G4 G42 B5:G5 C22 D22:G23 C34 B23:C23 B16:G16 C19:G19 C17 E17 G17 C36 G35 B43:G44 B41:C41 G39:G40 C39:C40 E39:E40 G37 C42 E42 E34 G34 E36 G36 E41 C15:G15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7034"/>
  </sheetPr>
  <dimension ref="A1:G30"/>
  <sheetViews>
    <sheetView zoomScale="115" zoomScaleNormal="115" zoomScalePageLayoutView="200" workbookViewId="0">
      <pane ySplit="3" topLeftCell="A13" activePane="bottomLeft" state="frozen"/>
      <selection pane="bottomLeft" activeCell="E32" sqref="E32"/>
    </sheetView>
  </sheetViews>
  <sheetFormatPr defaultColWidth="8.59765625" defaultRowHeight="13.8" x14ac:dyDescent="0.25"/>
  <cols>
    <col min="1" max="1" width="77.09765625" style="7" customWidth="1"/>
    <col min="2" max="2" width="14.3984375" style="7" customWidth="1"/>
    <col min="3" max="4" width="12.8984375" style="7" customWidth="1"/>
    <col min="5" max="5" width="13.8984375" style="7" customWidth="1"/>
    <col min="6" max="6" width="8.59765625" style="7"/>
    <col min="7" max="7" width="43.5" style="7" customWidth="1"/>
    <col min="8" max="8" width="9" style="7" customWidth="1"/>
    <col min="9" max="9" width="13.3984375" style="7" customWidth="1"/>
    <col min="10" max="16384" width="8.59765625" style="7"/>
  </cols>
  <sheetData>
    <row r="1" spans="1:7" x14ac:dyDescent="0.25">
      <c r="A1" s="274" t="s">
        <v>48</v>
      </c>
      <c r="B1" s="274"/>
      <c r="C1" s="274"/>
      <c r="D1" s="274"/>
      <c r="E1" s="274"/>
    </row>
    <row r="2" spans="1:7" x14ac:dyDescent="0.25">
      <c r="A2" s="274"/>
      <c r="B2" s="274"/>
      <c r="C2" s="274"/>
      <c r="D2" s="274"/>
      <c r="E2" s="274"/>
    </row>
    <row r="3" spans="1:7" ht="31.5" customHeight="1" x14ac:dyDescent="0.25">
      <c r="A3" s="12"/>
      <c r="B3" s="242" t="s">
        <v>1</v>
      </c>
      <c r="C3" s="5" t="s">
        <v>2</v>
      </c>
      <c r="D3" s="5" t="s">
        <v>3</v>
      </c>
      <c r="E3" s="5" t="s">
        <v>4</v>
      </c>
    </row>
    <row r="4" spans="1:7" s="13" customFormat="1" ht="14.4" x14ac:dyDescent="0.25">
      <c r="A4" s="29" t="s">
        <v>49</v>
      </c>
      <c r="B4" s="31">
        <f>COUNT(B7:B9,B11:B13,B15:B18,B20:B22,B5)</f>
        <v>1</v>
      </c>
      <c r="C4" s="31">
        <f>COUNT(C7:C9,C11:C13,C15:C18,C20:C22,C5)</f>
        <v>2</v>
      </c>
      <c r="D4" s="30">
        <f>COUNT(D7:D9,D11:D13,D15:D18,D20:D22,D5)</f>
        <v>3</v>
      </c>
      <c r="E4" s="31">
        <f>COUNT(E7:E9,E11:E13,E15:E18,E20:E22,E5)</f>
        <v>3</v>
      </c>
    </row>
    <row r="5" spans="1:7" ht="14.4" x14ac:dyDescent="0.25">
      <c r="A5" s="13" t="s">
        <v>50</v>
      </c>
      <c r="B5" s="22">
        <v>2000</v>
      </c>
      <c r="C5" s="22">
        <v>2000</v>
      </c>
      <c r="D5" s="21">
        <v>2300</v>
      </c>
      <c r="E5" s="22">
        <v>2500</v>
      </c>
    </row>
    <row r="6" spans="1:7" ht="14.4" x14ac:dyDescent="0.25">
      <c r="A6" s="13" t="s">
        <v>10</v>
      </c>
      <c r="B6" s="19">
        <f>SUM(B7:B9)</f>
        <v>0</v>
      </c>
      <c r="C6" s="19">
        <f>SUM(C7:C9)</f>
        <v>0</v>
      </c>
      <c r="D6" s="18">
        <f>SUM(D7:D9)</f>
        <v>0</v>
      </c>
      <c r="E6" s="19">
        <f>SUM(E7:E9)</f>
        <v>0</v>
      </c>
    </row>
    <row r="7" spans="1:7" ht="14.4" x14ac:dyDescent="0.25">
      <c r="A7" s="6" t="s">
        <v>51</v>
      </c>
      <c r="B7" s="16"/>
      <c r="C7" s="16"/>
      <c r="D7" s="15"/>
      <c r="E7" s="16"/>
    </row>
    <row r="8" spans="1:7" ht="14.4" x14ac:dyDescent="0.25">
      <c r="A8" s="6" t="s">
        <v>240</v>
      </c>
      <c r="B8" s="16"/>
      <c r="C8" s="16"/>
      <c r="D8" s="15"/>
      <c r="E8" s="16"/>
    </row>
    <row r="9" spans="1:7" ht="14.4" x14ac:dyDescent="0.25">
      <c r="A9" s="6" t="s">
        <v>241</v>
      </c>
      <c r="B9" s="16"/>
      <c r="C9" s="16"/>
      <c r="D9" s="15"/>
      <c r="E9" s="16"/>
    </row>
    <row r="10" spans="1:7" ht="14.4" x14ac:dyDescent="0.25">
      <c r="A10" s="13" t="s">
        <v>52</v>
      </c>
      <c r="B10" s="19">
        <f t="shared" ref="B10" si="0">SUM(B11:B13)</f>
        <v>0</v>
      </c>
      <c r="C10" s="19">
        <f>SUM(C11:C13)</f>
        <v>0</v>
      </c>
      <c r="D10" s="18">
        <f t="shared" ref="D10:E10" si="1">SUM(D11:D13)</f>
        <v>0</v>
      </c>
      <c r="E10" s="19">
        <f t="shared" si="1"/>
        <v>0</v>
      </c>
      <c r="G10" s="63"/>
    </row>
    <row r="11" spans="1:7" ht="14.4" x14ac:dyDescent="0.25">
      <c r="A11" s="6" t="s">
        <v>53</v>
      </c>
      <c r="B11" s="16"/>
      <c r="C11" s="16"/>
      <c r="D11" s="15"/>
      <c r="E11" s="16"/>
    </row>
    <row r="12" spans="1:7" ht="14.4" x14ac:dyDescent="0.25">
      <c r="A12" s="6" t="s">
        <v>54</v>
      </c>
      <c r="B12" s="16"/>
      <c r="C12" s="16"/>
      <c r="D12" s="15"/>
      <c r="E12" s="16"/>
    </row>
    <row r="13" spans="1:7" ht="14.4" x14ac:dyDescent="0.25">
      <c r="A13" s="6" t="s">
        <v>55</v>
      </c>
      <c r="B13" s="16"/>
      <c r="C13" s="16"/>
      <c r="D13" s="15"/>
      <c r="E13" s="16"/>
    </row>
    <row r="14" spans="1:7" ht="14.4" x14ac:dyDescent="0.25">
      <c r="A14" s="13" t="s">
        <v>56</v>
      </c>
      <c r="B14" s="19">
        <f>SUM(B15:B18)</f>
        <v>0</v>
      </c>
      <c r="C14" s="19">
        <f>SUM(C15:C18)</f>
        <v>950</v>
      </c>
      <c r="D14" s="18">
        <f>SUM(D15:D18)</f>
        <v>1700</v>
      </c>
      <c r="E14" s="19">
        <f>SUM(E15:E18)</f>
        <v>2050</v>
      </c>
    </row>
    <row r="15" spans="1:7" ht="14.4" x14ac:dyDescent="0.25">
      <c r="A15" s="6" t="s">
        <v>242</v>
      </c>
      <c r="B15" s="16"/>
      <c r="C15" s="16">
        <v>950</v>
      </c>
      <c r="D15" s="15">
        <v>950</v>
      </c>
      <c r="E15" s="16">
        <v>1100</v>
      </c>
    </row>
    <row r="16" spans="1:7" ht="14.4" x14ac:dyDescent="0.25">
      <c r="A16" s="6" t="s">
        <v>242</v>
      </c>
      <c r="B16" s="16"/>
      <c r="C16" s="16"/>
      <c r="D16" s="15">
        <v>750</v>
      </c>
      <c r="E16" s="16">
        <v>950</v>
      </c>
    </row>
    <row r="17" spans="1:7" ht="14.4" x14ac:dyDescent="0.25">
      <c r="A17" s="6" t="s">
        <v>243</v>
      </c>
      <c r="B17" s="16"/>
      <c r="C17" s="16"/>
      <c r="D17" s="15"/>
      <c r="E17" s="16"/>
    </row>
    <row r="18" spans="1:7" ht="14.4" x14ac:dyDescent="0.25">
      <c r="A18" s="6" t="s">
        <v>243</v>
      </c>
      <c r="B18" s="16"/>
      <c r="C18" s="16"/>
      <c r="D18" s="15"/>
      <c r="E18" s="16"/>
    </row>
    <row r="19" spans="1:7" ht="14.4" x14ac:dyDescent="0.25">
      <c r="A19" s="13" t="s">
        <v>57</v>
      </c>
      <c r="B19" s="19">
        <f>SUM(B20:B22)</f>
        <v>0</v>
      </c>
      <c r="C19" s="19">
        <f>SUM(C20:C22)</f>
        <v>0</v>
      </c>
      <c r="D19" s="18">
        <f>SUM(D20:D22)</f>
        <v>0</v>
      </c>
      <c r="E19" s="19">
        <f>SUM(E20:E22)</f>
        <v>0</v>
      </c>
    </row>
    <row r="20" spans="1:7" ht="14.4" x14ac:dyDescent="0.25">
      <c r="A20" s="6" t="s">
        <v>244</v>
      </c>
      <c r="B20" s="16"/>
      <c r="C20" s="16"/>
      <c r="D20" s="15"/>
      <c r="E20" s="16"/>
    </row>
    <row r="21" spans="1:7" ht="14.4" x14ac:dyDescent="0.25">
      <c r="A21" s="6" t="s">
        <v>244</v>
      </c>
      <c r="B21" s="16"/>
      <c r="C21" s="16"/>
      <c r="D21" s="15"/>
      <c r="E21" s="16"/>
    </row>
    <row r="22" spans="1:7" ht="14.4" x14ac:dyDescent="0.25">
      <c r="A22" s="6" t="s">
        <v>244</v>
      </c>
      <c r="B22" s="16"/>
      <c r="C22" s="16"/>
      <c r="D22" s="15"/>
      <c r="E22" s="16"/>
    </row>
    <row r="23" spans="1:7" ht="14.4" x14ac:dyDescent="0.25">
      <c r="A23" s="32" t="s">
        <v>58</v>
      </c>
      <c r="B23" s="19">
        <f>B6+B10+B14+B19+B5</f>
        <v>2000</v>
      </c>
      <c r="C23" s="19">
        <f>C6+C10+C14+C19+C5</f>
        <v>2950</v>
      </c>
      <c r="D23" s="18">
        <f>D6+D10+D14+D19+D5</f>
        <v>4000</v>
      </c>
      <c r="E23" s="19">
        <f t="shared" ref="E23" si="2">E6+E10+E14+E19+E5</f>
        <v>4550</v>
      </c>
    </row>
    <row r="24" spans="1:7" s="13" customFormat="1" ht="14.4" x14ac:dyDescent="0.25">
      <c r="A24" s="32" t="s">
        <v>59</v>
      </c>
      <c r="B24" s="19">
        <f>B23*10</f>
        <v>20000</v>
      </c>
      <c r="C24" s="19">
        <f>C23*14</f>
        <v>41300</v>
      </c>
      <c r="D24" s="18">
        <f>D23*14</f>
        <v>56000</v>
      </c>
      <c r="E24" s="19">
        <f>E23*14</f>
        <v>63700</v>
      </c>
      <c r="G24" s="7"/>
    </row>
    <row r="25" spans="1:7" ht="14.4" x14ac:dyDescent="0.25">
      <c r="A25" s="6" t="s">
        <v>60</v>
      </c>
      <c r="B25" s="16">
        <f>B24*0.3</f>
        <v>6000</v>
      </c>
      <c r="C25" s="16">
        <f>C24*0.3</f>
        <v>12390</v>
      </c>
      <c r="D25" s="15">
        <f>D24*0.3</f>
        <v>16800</v>
      </c>
      <c r="E25" s="16">
        <f>E24*0.3</f>
        <v>19110</v>
      </c>
    </row>
    <row r="26" spans="1:7" ht="14.4" x14ac:dyDescent="0.25">
      <c r="A26" s="6" t="s">
        <v>61</v>
      </c>
      <c r="B26" s="16">
        <f>B24*5%</f>
        <v>1000</v>
      </c>
      <c r="C26" s="16">
        <f>C24*5%</f>
        <v>2065</v>
      </c>
      <c r="D26" s="37">
        <f>D24*5%</f>
        <v>2800</v>
      </c>
      <c r="E26" s="16">
        <f>E24*5%</f>
        <v>3185</v>
      </c>
    </row>
    <row r="27" spans="1:7" s="13" customFormat="1" ht="14.4" x14ac:dyDescent="0.25">
      <c r="A27" s="28" t="s">
        <v>62</v>
      </c>
      <c r="B27" s="27">
        <f>SUM(B24:B26)</f>
        <v>27000</v>
      </c>
      <c r="C27" s="27">
        <f>SUM(C24:C26)</f>
        <v>55755</v>
      </c>
      <c r="D27" s="26">
        <f>SUM(D24:D26)</f>
        <v>75600</v>
      </c>
      <c r="E27" s="27">
        <f>SUM(E24:E26)</f>
        <v>85995</v>
      </c>
    </row>
    <row r="29" spans="1:7" ht="14.4" x14ac:dyDescent="0.25">
      <c r="A29" s="33" t="str">
        <f>'Επισκέψεις, Παραγγελίες, Τζίρος'!A40</f>
        <v>Σύνολο Παραγγελιών Περιόδου</v>
      </c>
      <c r="B29" s="17"/>
      <c r="C29" s="17">
        <f>SUM('Επισκέψεις, Παραγγελίες, Τζίρος'!B33,'Επισκέψεις, Παραγγελίες, Τζίρος'!B15)</f>
        <v>18761.047619047615</v>
      </c>
      <c r="D29" s="17">
        <f>SUM('Επισκέψεις, Παραγγελίες, Τζίρος'!D33,'Επισκέψεις, Παραγγελίες, Τζίρος'!D15)</f>
        <v>28893.073843058351</v>
      </c>
      <c r="E29" s="17">
        <f>SUM('Επισκέψεις, Παραγγελίες, Τζίρος'!F33,'Επισκέψεις, Παραγγελίες, Τζίρος'!F15)</f>
        <v>40135.514285714286</v>
      </c>
      <c r="F29" s="17"/>
    </row>
    <row r="30" spans="1:7" ht="14.4" x14ac:dyDescent="0.25">
      <c r="A30" s="34" t="s">
        <v>63</v>
      </c>
      <c r="B30" s="35"/>
      <c r="C30" s="35">
        <f>C29/365</f>
        <v>51.400130463144151</v>
      </c>
      <c r="D30" s="35">
        <f>D29/365</f>
        <v>79.159106419337945</v>
      </c>
      <c r="E30" s="35">
        <f>E29/365</f>
        <v>109.96031311154599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r:id="rId1"/>
  <ignoredErrors>
    <ignoredError sqref="C28:E28 C14:E14 C6:E6 B6:B8 C27:E27 B14:B16 B25 B20:B21 D30" unlockedFormula="1"/>
    <ignoredError sqref="C25:E25 C24 B19 D19 E24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97034"/>
  </sheetPr>
  <dimension ref="A1:K29"/>
  <sheetViews>
    <sheetView tabSelected="1" zoomScale="115" zoomScaleNormal="115" zoomScalePageLayoutView="230" workbookViewId="0">
      <pane ySplit="3" topLeftCell="A4" activePane="bottomLeft" state="frozen"/>
      <selection pane="bottomLeft" activeCell="A34" sqref="A34"/>
    </sheetView>
  </sheetViews>
  <sheetFormatPr defaultColWidth="8.59765625" defaultRowHeight="13.8" x14ac:dyDescent="0.25"/>
  <cols>
    <col min="1" max="1" width="85.3984375" style="7" bestFit="1" customWidth="1"/>
    <col min="2" max="2" width="11.5" style="7" customWidth="1"/>
    <col min="3" max="3" width="10.5" style="7" customWidth="1"/>
    <col min="4" max="4" width="11.3984375" style="7" customWidth="1"/>
    <col min="5" max="5" width="12" style="7" customWidth="1"/>
    <col min="6" max="6" width="19.09765625" style="7" customWidth="1"/>
    <col min="7" max="7" width="22.09765625" style="7" bestFit="1" customWidth="1"/>
    <col min="8" max="8" width="13.19921875" style="7" customWidth="1"/>
    <col min="9" max="9" width="13.3984375" style="7" customWidth="1"/>
    <col min="10" max="10" width="8.59765625" style="7"/>
    <col min="11" max="11" width="41" style="7" bestFit="1" customWidth="1"/>
    <col min="12" max="16384" width="8.59765625" style="7"/>
  </cols>
  <sheetData>
    <row r="1" spans="1:11" x14ac:dyDescent="0.25">
      <c r="A1" s="274" t="s">
        <v>12</v>
      </c>
      <c r="B1" s="274"/>
      <c r="C1" s="274"/>
      <c r="D1" s="274"/>
      <c r="E1" s="274"/>
    </row>
    <row r="2" spans="1:11" x14ac:dyDescent="0.25">
      <c r="A2" s="274"/>
      <c r="B2" s="274"/>
      <c r="C2" s="274"/>
      <c r="D2" s="274"/>
      <c r="E2" s="274"/>
      <c r="G2" s="280" t="s">
        <v>64</v>
      </c>
      <c r="H2" s="281"/>
      <c r="I2" s="281"/>
      <c r="J2" s="281"/>
    </row>
    <row r="3" spans="1:11" ht="41.4" x14ac:dyDescent="0.25">
      <c r="A3" s="12"/>
      <c r="B3" s="242" t="s">
        <v>1</v>
      </c>
      <c r="C3" s="5" t="s">
        <v>2</v>
      </c>
      <c r="D3" s="5" t="s">
        <v>3</v>
      </c>
      <c r="E3" s="5" t="s">
        <v>4</v>
      </c>
      <c r="G3" s="242" t="s">
        <v>1</v>
      </c>
      <c r="H3" s="5" t="s">
        <v>2</v>
      </c>
      <c r="I3" s="5" t="s">
        <v>3</v>
      </c>
      <c r="J3" s="5" t="s">
        <v>4</v>
      </c>
    </row>
    <row r="4" spans="1:11" ht="15" thickBot="1" x14ac:dyDescent="0.3">
      <c r="A4" s="72" t="s">
        <v>65</v>
      </c>
      <c r="B4" s="41"/>
      <c r="C4" s="41"/>
      <c r="D4" s="40"/>
      <c r="E4" s="41"/>
    </row>
    <row r="5" spans="1:11" ht="14.4" x14ac:dyDescent="0.25">
      <c r="A5" s="6" t="s">
        <v>66</v>
      </c>
      <c r="B5" s="41"/>
      <c r="C5" s="41">
        <v>8000</v>
      </c>
      <c r="D5" s="40">
        <v>8000</v>
      </c>
      <c r="E5" s="41">
        <v>8000</v>
      </c>
      <c r="G5" s="222" t="s">
        <v>67</v>
      </c>
      <c r="H5" s="223" t="s">
        <v>67</v>
      </c>
      <c r="I5" s="223" t="s">
        <v>67</v>
      </c>
      <c r="J5" s="224" t="s">
        <v>67</v>
      </c>
    </row>
    <row r="6" spans="1:11" ht="14.4" x14ac:dyDescent="0.25">
      <c r="A6" s="6" t="s">
        <v>245</v>
      </c>
      <c r="B6" s="41"/>
      <c r="C6" s="41">
        <f>8*50*12</f>
        <v>4800</v>
      </c>
      <c r="D6" s="40">
        <f>10*50*12</f>
        <v>6000</v>
      </c>
      <c r="E6" s="41">
        <f>10*50*12</f>
        <v>6000</v>
      </c>
      <c r="G6" s="225"/>
      <c r="H6" s="63"/>
      <c r="I6" s="63"/>
      <c r="J6" s="226"/>
      <c r="K6" s="56" t="s">
        <v>68</v>
      </c>
    </row>
    <row r="7" spans="1:11" ht="14.4" x14ac:dyDescent="0.25">
      <c r="A7" s="6" t="s">
        <v>246</v>
      </c>
      <c r="B7" s="41">
        <v>10000</v>
      </c>
      <c r="C7" s="41"/>
      <c r="D7" s="40"/>
      <c r="E7" s="41"/>
      <c r="F7" s="6"/>
      <c r="G7" s="227"/>
      <c r="H7" s="63"/>
      <c r="I7" s="63"/>
      <c r="J7" s="226"/>
    </row>
    <row r="8" spans="1:11" ht="14.4" x14ac:dyDescent="0.25">
      <c r="A8" s="6" t="s">
        <v>69</v>
      </c>
      <c r="B8" s="41"/>
      <c r="C8" s="41">
        <f>49*2*12</f>
        <v>1176</v>
      </c>
      <c r="D8" s="42">
        <f>49*2*12</f>
        <v>1176</v>
      </c>
      <c r="E8" s="41">
        <f>49*2*12</f>
        <v>1176</v>
      </c>
      <c r="F8" s="6"/>
      <c r="G8" s="227"/>
      <c r="I8" s="63"/>
      <c r="J8" s="226"/>
    </row>
    <row r="9" spans="1:11" ht="14.4" x14ac:dyDescent="0.25">
      <c r="A9" s="6" t="s">
        <v>70</v>
      </c>
      <c r="B9" s="41"/>
      <c r="C9" s="41">
        <f>800*12</f>
        <v>9600</v>
      </c>
      <c r="D9" s="42">
        <f>800*12</f>
        <v>9600</v>
      </c>
      <c r="E9" s="41">
        <f>800*12</f>
        <v>9600</v>
      </c>
      <c r="G9" s="227"/>
      <c r="I9" s="63"/>
      <c r="J9" s="226"/>
    </row>
    <row r="10" spans="1:11" ht="14.4" x14ac:dyDescent="0.25">
      <c r="A10" s="6" t="s">
        <v>71</v>
      </c>
      <c r="B10" s="41"/>
      <c r="C10" s="41">
        <f>('Επισκέψεις, Παραγγελίες, Τζίρος'!B18*0.7%*Αποστολές!$M$18+'Επισκέψεις, Παραγγελίες, Τζίρος'!B18*2.5%*Αποστολές!M19+'Επισκέψεις, Παραγγελίες, Τζίρος'!B15*0.35*Αποστολές!M19)+('Επισκέψεις, Παραγγελίες, Τζίρος'!B36*1%*Αποστολές!$P$18+'Επισκέψεις, Παραγγελίες, Τζίρος'!B36*3.9%*Αποστολές!P19+'Επισκέψεις, Παραγγελίες, Τζίρος'!B33*0.35*Αποστολές!P19)</f>
        <v>5729.6844623655916</v>
      </c>
      <c r="D10" s="40">
        <f>('Επισκέψεις, Παραγγελίες, Τζίρος'!D18*0.7%*Αποστολές!$M$18+'Επισκέψεις, Παραγγελίες, Τζίρος'!D18*2.5%*Αποστολές!M19+'Επισκέψεις, Παραγγελίες, Τζίρος'!D15*0.35*Αποστολές!M19)+('Επισκέψεις, Παραγγελίες, Τζίρος'!D36*1%*Αποστολές!$P$18+'Επισκέψεις, Παραγγελίες, Τζίρος'!D36*3.9%*Αποστολές!P19+'Επισκέψεις, Παραγγελίες, Τζίρος'!D33*0.35*Αποστολές!P19)</f>
        <v>8942.8723717466091</v>
      </c>
      <c r="E10" s="41">
        <f>('Επισκέψεις, Παραγγελίες, Τζίρος'!F18*0.7%*Αποστολές!$M$18+'Επισκέψεις, Παραγγελίες, Τζίρος'!F18*2.5%*Αποστολές!M19+'Επισκέψεις, Παραγγελίες, Τζίρος'!F15*0.35*Αποστολές!M19)+('Επισκέψεις, Παραγγελίες, Τζίρος'!F36*1%*Αποστολές!$P$18+'Επισκέψεις, Παραγγελίες, Τζίρος'!F36*3.9%*Αποστολές!P19+'Επισκέψεις, Παραγγελίες, Τζίρος'!F33*0.35*Αποστολές!P19)</f>
        <v>12587.662504608292</v>
      </c>
      <c r="G10" s="227"/>
      <c r="J10" s="226"/>
    </row>
    <row r="11" spans="1:11" ht="14.4" x14ac:dyDescent="0.25">
      <c r="A11" s="6" t="s">
        <v>72</v>
      </c>
      <c r="B11" s="41"/>
      <c r="C11" s="41">
        <f>MAX(900*12,SUM(Marketing!B5,Marketing!B9,Marketing!B18,Marketing!B22)*8%)</f>
        <v>10800</v>
      </c>
      <c r="D11" s="40">
        <f>MAX(900*12,SUM(Marketing!C5,Marketing!C9,Marketing!C18,Marketing!C22)*8%)</f>
        <v>10800</v>
      </c>
      <c r="E11" s="41">
        <f>MAX(900*12,SUM(Marketing!D5,Marketing!D9,Marketing!D18,Marketing!D22)*8%)</f>
        <v>10800</v>
      </c>
      <c r="G11" s="227"/>
      <c r="J11" s="226"/>
    </row>
    <row r="12" spans="1:11" ht="15" thickBot="1" x14ac:dyDescent="0.3">
      <c r="A12" s="6" t="s">
        <v>73</v>
      </c>
      <c r="B12" s="41"/>
      <c r="C12" s="41"/>
      <c r="D12" s="40"/>
      <c r="E12" s="41"/>
      <c r="G12" s="228"/>
      <c r="H12" s="229"/>
      <c r="I12" s="229"/>
      <c r="J12" s="230"/>
    </row>
    <row r="13" spans="1:11" ht="14.4" x14ac:dyDescent="0.25">
      <c r="A13" s="6" t="s">
        <v>247</v>
      </c>
      <c r="B13" s="41"/>
      <c r="C13" s="41"/>
      <c r="D13" s="42"/>
      <c r="E13" s="41"/>
    </row>
    <row r="14" spans="1:11" ht="14.4" x14ac:dyDescent="0.25">
      <c r="A14" s="6" t="s">
        <v>74</v>
      </c>
      <c r="B14" s="41">
        <v>0</v>
      </c>
      <c r="C14" s="41">
        <v>0</v>
      </c>
      <c r="D14" s="40">
        <v>0</v>
      </c>
      <c r="E14" s="41">
        <v>0</v>
      </c>
    </row>
    <row r="15" spans="1:11" ht="14.4" x14ac:dyDescent="0.25">
      <c r="A15" s="6" t="s">
        <v>75</v>
      </c>
      <c r="B15" s="41">
        <f>2000</f>
        <v>2000</v>
      </c>
      <c r="C15" s="41">
        <v>1500</v>
      </c>
      <c r="D15" s="40">
        <v>1500</v>
      </c>
      <c r="E15" s="41">
        <v>1500</v>
      </c>
      <c r="F15" s="56"/>
    </row>
    <row r="16" spans="1:11" ht="14.4" x14ac:dyDescent="0.25">
      <c r="A16" s="72" t="s">
        <v>76</v>
      </c>
      <c r="B16" s="41"/>
      <c r="C16" s="41"/>
      <c r="D16" s="40"/>
      <c r="E16" s="41"/>
      <c r="F16" s="209"/>
      <c r="G16" s="209"/>
      <c r="H16" s="209"/>
      <c r="I16" s="209"/>
    </row>
    <row r="17" spans="1:9" ht="14.4" x14ac:dyDescent="0.25">
      <c r="A17" s="6" t="s">
        <v>77</v>
      </c>
      <c r="B17" s="41"/>
      <c r="C17" s="41">
        <v>20000</v>
      </c>
      <c r="D17" s="40">
        <v>20000</v>
      </c>
      <c r="E17" s="41">
        <v>20000</v>
      </c>
      <c r="F17" s="209"/>
      <c r="G17" s="209"/>
      <c r="H17" s="209"/>
      <c r="I17" s="209"/>
    </row>
    <row r="18" spans="1:9" ht="14.4" x14ac:dyDescent="0.25">
      <c r="A18" s="6" t="s">
        <v>78</v>
      </c>
      <c r="B18" s="41"/>
      <c r="C18" s="231">
        <f>'Επισκέψεις, Παραγγελίες, Τζίρος'!B15*1.5</f>
        <v>28141.57142857142</v>
      </c>
      <c r="D18" s="232">
        <f>'Επισκέψεις, Παραγγελίες, Τζίρος'!D15*1.5</f>
        <v>43339.610764587531</v>
      </c>
      <c r="E18" s="231">
        <f>'Επισκέψεις, Παραγγελίες, Τζίρος'!F15*1.5</f>
        <v>60203.271428571432</v>
      </c>
      <c r="F18" s="209"/>
      <c r="G18" s="209"/>
      <c r="H18" s="209"/>
      <c r="I18" s="209"/>
    </row>
    <row r="19" spans="1:9" ht="14.4" x14ac:dyDescent="0.25">
      <c r="A19" s="6" t="s">
        <v>79</v>
      </c>
      <c r="B19" s="41"/>
      <c r="C19" s="231">
        <f>'Επισκέψεις, Παραγγελίες, Τζίρος'!B15*0.6</f>
        <v>11256.628571428568</v>
      </c>
      <c r="D19" s="232">
        <f>'Επισκέψεις, Παραγγελίες, Τζίρος'!D15*0.6</f>
        <v>17335.844305835009</v>
      </c>
      <c r="E19" s="231">
        <f>'Επισκέψεις, Παραγγελίες, Τζίρος'!F15*0.6</f>
        <v>24081.30857142857</v>
      </c>
      <c r="F19" s="209"/>
      <c r="G19" s="209"/>
      <c r="H19" s="209"/>
      <c r="I19" s="209"/>
    </row>
    <row r="20" spans="1:9" ht="14.4" x14ac:dyDescent="0.25">
      <c r="A20" s="72" t="s">
        <v>80</v>
      </c>
      <c r="B20" s="41"/>
      <c r="C20" s="41"/>
      <c r="D20" s="40"/>
      <c r="E20" s="41"/>
      <c r="I20" s="6"/>
    </row>
    <row r="21" spans="1:9" ht="14.4" x14ac:dyDescent="0.25">
      <c r="A21" s="6" t="s">
        <v>248</v>
      </c>
      <c r="B21" s="41">
        <f>800*2</f>
        <v>1600</v>
      </c>
      <c r="C21" s="41">
        <f>900*12</f>
        <v>10800</v>
      </c>
      <c r="D21" s="40">
        <f>1300*12</f>
        <v>15600</v>
      </c>
      <c r="E21" s="41">
        <f>1300*12</f>
        <v>15600</v>
      </c>
      <c r="F21" s="56"/>
      <c r="G21" s="56"/>
      <c r="H21" s="56"/>
    </row>
    <row r="22" spans="1:9" ht="14.4" x14ac:dyDescent="0.25">
      <c r="A22" s="6" t="s">
        <v>81</v>
      </c>
      <c r="B22" s="41">
        <f>COUNTA(G5:G12)*0*50</f>
        <v>0</v>
      </c>
      <c r="C22" s="41">
        <f>COUNTA(H5:H12)*0*50</f>
        <v>0</v>
      </c>
      <c r="D22" s="40">
        <f>COUNTA(I5:I12)*0*50</f>
        <v>0</v>
      </c>
      <c r="E22" s="41">
        <f>COUNTA(J5:J12)*0*50</f>
        <v>0</v>
      </c>
      <c r="F22" s="203"/>
      <c r="G22" s="203"/>
      <c r="H22" s="203"/>
    </row>
    <row r="23" spans="1:9" ht="14.4" x14ac:dyDescent="0.25">
      <c r="A23" s="6" t="s">
        <v>82</v>
      </c>
      <c r="B23" s="41"/>
      <c r="C23" s="41"/>
      <c r="D23" s="42"/>
      <c r="E23" s="41"/>
      <c r="F23" s="6"/>
    </row>
    <row r="24" spans="1:9" ht="14.4" x14ac:dyDescent="0.25">
      <c r="A24" s="6" t="s">
        <v>83</v>
      </c>
      <c r="B24" s="41"/>
      <c r="C24" s="41"/>
      <c r="D24" s="42"/>
      <c r="E24" s="41"/>
      <c r="F24" s="6"/>
    </row>
    <row r="25" spans="1:9" ht="14.4" x14ac:dyDescent="0.25">
      <c r="A25" s="6" t="s">
        <v>84</v>
      </c>
      <c r="B25" s="41"/>
      <c r="C25" s="41"/>
      <c r="D25" s="42"/>
      <c r="E25" s="41"/>
      <c r="F25" s="6"/>
    </row>
    <row r="26" spans="1:9" ht="14.4" x14ac:dyDescent="0.25">
      <c r="A26" s="6" t="s">
        <v>250</v>
      </c>
      <c r="B26" s="41">
        <f>(COUNTA(G5:G12)-1)*2500</f>
        <v>0</v>
      </c>
      <c r="C26" s="41">
        <f>(COUNTA(H5:H12)-COUNTA(G5:G12))*2500</f>
        <v>0</v>
      </c>
      <c r="D26" s="40">
        <f>(COUNTA(I5:I12)-COUNTA(H5:H12))*2500</f>
        <v>0</v>
      </c>
      <c r="E26" s="41">
        <f>(COUNTA(J5:J12)-COUNTA(I5:I12))*2500</f>
        <v>0</v>
      </c>
    </row>
    <row r="27" spans="1:9" ht="14.4" x14ac:dyDescent="0.25">
      <c r="A27" s="6" t="s">
        <v>249</v>
      </c>
      <c r="B27" s="41"/>
      <c r="C27" s="41">
        <f>400*(COUNTA(H5:H12)-1)*12</f>
        <v>0</v>
      </c>
      <c r="D27" s="40">
        <f>400*(COUNTA(I5:I12)-1)*12</f>
        <v>0</v>
      </c>
      <c r="E27" s="41">
        <f>400*(COUNTA(J5:J12)-1)*12</f>
        <v>0</v>
      </c>
    </row>
    <row r="28" spans="1:9" ht="14.4" x14ac:dyDescent="0.25">
      <c r="A28" s="6" t="s">
        <v>85</v>
      </c>
      <c r="B28" s="41">
        <v>2000</v>
      </c>
      <c r="C28" s="41">
        <v>2000</v>
      </c>
      <c r="D28" s="40">
        <v>2000</v>
      </c>
      <c r="E28" s="41">
        <v>2000</v>
      </c>
    </row>
    <row r="29" spans="1:9" s="13" customFormat="1" ht="14.4" x14ac:dyDescent="0.25">
      <c r="A29" s="28" t="s">
        <v>86</v>
      </c>
      <c r="B29" s="27">
        <f>SUM(B5:B28)</f>
        <v>15600</v>
      </c>
      <c r="C29" s="27">
        <f>SUM(C5:C28)</f>
        <v>113803.88446236558</v>
      </c>
      <c r="D29" s="26">
        <f>SUM(D5:D28)</f>
        <v>144294.32744216913</v>
      </c>
      <c r="E29" s="27">
        <f>SUM(E5:E28)</f>
        <v>171548.24250460829</v>
      </c>
    </row>
  </sheetData>
  <mergeCells count="2">
    <mergeCell ref="A1:E2"/>
    <mergeCell ref="G2:J2"/>
  </mergeCells>
  <phoneticPr fontId="2" type="noConversion"/>
  <pageMargins left="0.7" right="0.7" top="0.75" bottom="0.75" header="0.3" footer="0.3"/>
  <pageSetup paperSize="9" orientation="portrait" r:id="rId1"/>
  <ignoredErrors>
    <ignoredError sqref="C31:E31 C30:E30 C20:E20 B29 D29:E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7034"/>
  </sheetPr>
  <dimension ref="A1:J32"/>
  <sheetViews>
    <sheetView zoomScale="130" zoomScaleNormal="130" zoomScalePageLayoutView="210" workbookViewId="0">
      <pane ySplit="3" topLeftCell="A18" activePane="bottomLeft" state="frozen"/>
      <selection pane="bottomLeft" activeCell="A35" sqref="A35"/>
    </sheetView>
  </sheetViews>
  <sheetFormatPr defaultColWidth="8.59765625" defaultRowHeight="13.8" x14ac:dyDescent="0.25"/>
  <cols>
    <col min="1" max="1" width="28.59765625" style="7" customWidth="1"/>
    <col min="2" max="3" width="15.59765625" style="7" customWidth="1"/>
    <col min="4" max="4" width="17.3984375" style="7" customWidth="1"/>
    <col min="5" max="5" width="7.8984375" style="7" customWidth="1"/>
    <col min="6" max="6" width="8.59765625" style="7"/>
    <col min="7" max="7" width="12" style="7" customWidth="1"/>
    <col min="8" max="8" width="8.59765625" style="7"/>
    <col min="9" max="9" width="13.3984375" style="7" customWidth="1"/>
    <col min="10" max="16384" width="8.59765625" style="7"/>
  </cols>
  <sheetData>
    <row r="1" spans="1:10" ht="11.25" customHeight="1" x14ac:dyDescent="0.25">
      <c r="A1" s="274" t="s">
        <v>87</v>
      </c>
      <c r="B1" s="274"/>
      <c r="C1" s="274"/>
      <c r="D1" s="274"/>
    </row>
    <row r="2" spans="1:10" ht="9.75" customHeight="1" x14ac:dyDescent="0.25">
      <c r="A2" s="274"/>
      <c r="B2" s="274"/>
      <c r="C2" s="274"/>
      <c r="D2" s="274"/>
    </row>
    <row r="3" spans="1:10" ht="31.5" customHeight="1" x14ac:dyDescent="0.25">
      <c r="A3" s="12"/>
      <c r="B3" s="5" t="s">
        <v>2</v>
      </c>
      <c r="C3" s="5" t="s">
        <v>3</v>
      </c>
      <c r="D3" s="5" t="s">
        <v>4</v>
      </c>
      <c r="F3" s="9"/>
      <c r="G3" s="9"/>
    </row>
    <row r="4" spans="1:10" s="13" customFormat="1" ht="19.5" customHeight="1" thickBot="1" x14ac:dyDescent="0.3">
      <c r="A4" s="68" t="s">
        <v>28</v>
      </c>
      <c r="B4" s="174">
        <f>SUM(B6:B14)</f>
        <v>98400</v>
      </c>
      <c r="C4" s="174">
        <f>SUM(C6:C14)</f>
        <v>129600</v>
      </c>
      <c r="D4" s="174">
        <f>SUM(D6:D14)</f>
        <v>167400</v>
      </c>
      <c r="F4" s="7"/>
      <c r="G4" s="7"/>
    </row>
    <row r="5" spans="1:10" s="13" customFormat="1" ht="14.4" x14ac:dyDescent="0.3">
      <c r="A5" s="70" t="s">
        <v>88</v>
      </c>
      <c r="B5" s="175">
        <f t="shared" ref="B5" si="0">SUM(B6:B8)</f>
        <v>48000</v>
      </c>
      <c r="C5" s="176">
        <f>SUM(C6:C8)</f>
        <v>68400</v>
      </c>
      <c r="D5" s="175">
        <f t="shared" ref="D5" si="1">SUM(D6:D8)</f>
        <v>90000</v>
      </c>
      <c r="F5" s="7"/>
      <c r="G5" s="7"/>
    </row>
    <row r="6" spans="1:10" ht="14.4" x14ac:dyDescent="0.3">
      <c r="A6" s="214" t="s">
        <v>259</v>
      </c>
      <c r="B6" s="1">
        <f>12*3000</f>
        <v>36000</v>
      </c>
      <c r="C6" s="3">
        <f>B6*1.5</f>
        <v>54000</v>
      </c>
      <c r="D6" s="1">
        <f>B6*2</f>
        <v>72000</v>
      </c>
      <c r="F6" s="302" t="s">
        <v>252</v>
      </c>
      <c r="H6" s="56"/>
      <c r="I6" s="56"/>
      <c r="J6" s="59"/>
    </row>
    <row r="7" spans="1:10" ht="14.4" x14ac:dyDescent="0.3">
      <c r="A7" s="214" t="s">
        <v>258</v>
      </c>
      <c r="B7" s="1">
        <f>1000*12</f>
        <v>12000</v>
      </c>
      <c r="C7" s="3">
        <f>B7*1.2</f>
        <v>14400</v>
      </c>
      <c r="D7" s="1">
        <f>B7*1.5</f>
        <v>18000</v>
      </c>
      <c r="F7" s="302" t="s">
        <v>253</v>
      </c>
    </row>
    <row r="8" spans="1:10" ht="14.4" x14ac:dyDescent="0.3">
      <c r="A8" s="215" t="s">
        <v>90</v>
      </c>
      <c r="B8" s="1"/>
      <c r="C8" s="3"/>
      <c r="D8" s="1"/>
      <c r="F8" s="302"/>
    </row>
    <row r="9" spans="1:10" ht="14.4" x14ac:dyDescent="0.3">
      <c r="A9" s="71" t="s">
        <v>91</v>
      </c>
      <c r="B9" s="175">
        <f>SUM(B10:B11)</f>
        <v>12000</v>
      </c>
      <c r="C9" s="176">
        <f t="shared" ref="C9:D9" si="2">SUM(C10:C11)</f>
        <v>14400</v>
      </c>
      <c r="D9" s="175">
        <f t="shared" si="2"/>
        <v>18000</v>
      </c>
      <c r="F9" s="302"/>
    </row>
    <row r="10" spans="1:10" ht="14.4" x14ac:dyDescent="0.3">
      <c r="A10" s="216" t="s">
        <v>92</v>
      </c>
      <c r="B10" s="1">
        <f>12*1000</f>
        <v>12000</v>
      </c>
      <c r="C10" s="3">
        <f>B10*1.2</f>
        <v>14400</v>
      </c>
      <c r="D10" s="1">
        <f>B10*1.5</f>
        <v>18000</v>
      </c>
      <c r="F10" s="302"/>
    </row>
    <row r="11" spans="1:10" ht="14.4" x14ac:dyDescent="0.3">
      <c r="A11" s="216" t="s">
        <v>93</v>
      </c>
      <c r="B11" s="1"/>
      <c r="C11" s="3"/>
      <c r="D11" s="1"/>
      <c r="F11" s="302"/>
    </row>
    <row r="12" spans="1:10" ht="14.4" x14ac:dyDescent="0.3">
      <c r="A12" s="71" t="s">
        <v>94</v>
      </c>
      <c r="B12" s="175">
        <f>SUM(B13:B15)</f>
        <v>13200</v>
      </c>
      <c r="C12" s="176">
        <f>SUM(C13:C15)</f>
        <v>16200</v>
      </c>
      <c r="D12" s="175">
        <f>SUM(D13:D15)</f>
        <v>20700</v>
      </c>
      <c r="F12" s="302"/>
    </row>
    <row r="13" spans="1:10" ht="14.4" x14ac:dyDescent="0.3">
      <c r="A13" s="38" t="s">
        <v>257</v>
      </c>
      <c r="B13" s="1">
        <f>600*12</f>
        <v>7200</v>
      </c>
      <c r="C13" s="3">
        <f>600*12</f>
        <v>7200</v>
      </c>
      <c r="D13" s="1">
        <f>600*12</f>
        <v>7200</v>
      </c>
      <c r="F13" s="302" t="s">
        <v>255</v>
      </c>
    </row>
    <row r="14" spans="1:10" ht="14.4" x14ac:dyDescent="0.3">
      <c r="A14" s="38" t="s">
        <v>256</v>
      </c>
      <c r="B14" s="1">
        <f>500*12</f>
        <v>6000</v>
      </c>
      <c r="C14" s="3">
        <f t="shared" ref="C14" si="3">B14*1.5</f>
        <v>9000</v>
      </c>
      <c r="D14" s="1">
        <f>C14*1.5</f>
        <v>13500</v>
      </c>
      <c r="F14" s="302" t="s">
        <v>254</v>
      </c>
    </row>
    <row r="15" spans="1:10" ht="14.4" x14ac:dyDescent="0.25">
      <c r="A15" s="38" t="s">
        <v>97</v>
      </c>
      <c r="B15" s="1"/>
      <c r="C15" s="3"/>
      <c r="D15" s="1"/>
    </row>
    <row r="16" spans="1:10" ht="14.4" x14ac:dyDescent="0.25">
      <c r="A16" s="67"/>
      <c r="B16" s="177"/>
      <c r="C16" s="177"/>
      <c r="D16" s="177"/>
      <c r="E16" s="13"/>
      <c r="F16" s="13"/>
    </row>
    <row r="17" spans="1:4" ht="19.5" customHeight="1" thickBot="1" x14ac:dyDescent="0.3">
      <c r="A17" s="69" t="s">
        <v>39</v>
      </c>
      <c r="B17" s="178">
        <f>SUM(B19:B27)</f>
        <v>0</v>
      </c>
      <c r="C17" s="178">
        <f>SUM(C19:C27)</f>
        <v>0</v>
      </c>
      <c r="D17" s="178">
        <f>SUM(D19:D27)</f>
        <v>0</v>
      </c>
    </row>
    <row r="18" spans="1:4" s="13" customFormat="1" ht="14.4" x14ac:dyDescent="0.3">
      <c r="A18" s="70" t="s">
        <v>88</v>
      </c>
      <c r="B18" s="175">
        <f>SUM(B19:B21)</f>
        <v>0</v>
      </c>
      <c r="C18" s="176">
        <f>SUM(C19:C21)</f>
        <v>0</v>
      </c>
      <c r="D18" s="175">
        <f>SUM(D19:D21)</f>
        <v>0</v>
      </c>
    </row>
    <row r="19" spans="1:4" ht="14.4" x14ac:dyDescent="0.25">
      <c r="A19" s="214" t="s">
        <v>98</v>
      </c>
      <c r="B19" s="1">
        <v>0</v>
      </c>
      <c r="C19" s="3">
        <f>B19*1.5</f>
        <v>0</v>
      </c>
      <c r="D19" s="1">
        <f>B19*2</f>
        <v>0</v>
      </c>
    </row>
    <row r="20" spans="1:4" ht="14.4" x14ac:dyDescent="0.25">
      <c r="A20" s="214" t="s">
        <v>89</v>
      </c>
      <c r="B20" s="1">
        <v>0</v>
      </c>
      <c r="C20" s="3">
        <f t="shared" ref="C20:C21" si="4">B20*1.2</f>
        <v>0</v>
      </c>
      <c r="D20" s="1">
        <f t="shared" ref="D20:D21" si="5">B20*1.5</f>
        <v>0</v>
      </c>
    </row>
    <row r="21" spans="1:4" ht="14.4" x14ac:dyDescent="0.25">
      <c r="A21" s="215" t="s">
        <v>90</v>
      </c>
      <c r="B21" s="1">
        <v>0</v>
      </c>
      <c r="C21" s="3">
        <f t="shared" si="4"/>
        <v>0</v>
      </c>
      <c r="D21" s="1">
        <f t="shared" si="5"/>
        <v>0</v>
      </c>
    </row>
    <row r="22" spans="1:4" ht="14.4" x14ac:dyDescent="0.3">
      <c r="A22" s="71" t="s">
        <v>91</v>
      </c>
      <c r="B22" s="175">
        <f>SUM(B23:B24)</f>
        <v>0</v>
      </c>
      <c r="C22" s="176">
        <f t="shared" ref="C22" si="6">SUM(C23:C24)</f>
        <v>0</v>
      </c>
      <c r="D22" s="175">
        <f t="shared" ref="D22" si="7">SUM(D23:D24)</f>
        <v>0</v>
      </c>
    </row>
    <row r="23" spans="1:4" ht="14.4" x14ac:dyDescent="0.25">
      <c r="A23" s="216" t="s">
        <v>92</v>
      </c>
      <c r="B23" s="1">
        <v>0</v>
      </c>
      <c r="C23" s="3">
        <f>B23*1.2</f>
        <v>0</v>
      </c>
      <c r="D23" s="1">
        <f>B23*1.5</f>
        <v>0</v>
      </c>
    </row>
    <row r="24" spans="1:4" ht="14.4" x14ac:dyDescent="0.25">
      <c r="A24" s="216" t="s">
        <v>93</v>
      </c>
      <c r="B24" s="1">
        <v>0</v>
      </c>
      <c r="C24" s="3">
        <f>B24*1.2</f>
        <v>0</v>
      </c>
      <c r="D24" s="1">
        <f>B24*1.5</f>
        <v>0</v>
      </c>
    </row>
    <row r="25" spans="1:4" ht="14.4" x14ac:dyDescent="0.3">
      <c r="A25" s="71" t="s">
        <v>94</v>
      </c>
      <c r="B25" s="175">
        <f>SUM(B26:B28)</f>
        <v>0</v>
      </c>
      <c r="C25" s="176">
        <f t="shared" ref="C25" si="8">SUM(C26:C28)</f>
        <v>0</v>
      </c>
      <c r="D25" s="175">
        <f t="shared" ref="D25" si="9">SUM(D26:D28)</f>
        <v>0</v>
      </c>
    </row>
    <row r="26" spans="1:4" ht="14.4" x14ac:dyDescent="0.25">
      <c r="A26" s="38" t="s">
        <v>95</v>
      </c>
      <c r="B26" s="1">
        <v>0</v>
      </c>
      <c r="C26" s="3">
        <v>0</v>
      </c>
      <c r="D26" s="1">
        <v>0</v>
      </c>
    </row>
    <row r="27" spans="1:4" ht="14.4" x14ac:dyDescent="0.25">
      <c r="A27" s="36" t="s">
        <v>96</v>
      </c>
      <c r="B27" s="1">
        <v>0</v>
      </c>
      <c r="C27" s="3">
        <f t="shared" ref="C27:D27" si="10">B27*2</f>
        <v>0</v>
      </c>
      <c r="D27" s="1">
        <f t="shared" si="10"/>
        <v>0</v>
      </c>
    </row>
    <row r="28" spans="1:4" ht="14.4" x14ac:dyDescent="0.25">
      <c r="A28" s="38" t="s">
        <v>97</v>
      </c>
      <c r="B28" s="1"/>
      <c r="C28" s="3"/>
      <c r="D28" s="1"/>
    </row>
    <row r="29" spans="1:4" ht="14.4" x14ac:dyDescent="0.25">
      <c r="A29" s="67"/>
      <c r="B29" s="177"/>
      <c r="C29" s="177"/>
      <c r="D29" s="177"/>
    </row>
    <row r="30" spans="1:4" s="8" customFormat="1" ht="17.25" customHeight="1" x14ac:dyDescent="0.25">
      <c r="A30" s="10" t="s">
        <v>99</v>
      </c>
      <c r="B30" s="11">
        <f>B4+B17</f>
        <v>98400</v>
      </c>
      <c r="C30" s="11">
        <f>C4+C17</f>
        <v>129600</v>
      </c>
      <c r="D30" s="11">
        <f>D4+D17</f>
        <v>167400</v>
      </c>
    </row>
    <row r="31" spans="1:4" ht="15" thickBot="1" x14ac:dyDescent="0.3">
      <c r="A31" s="68" t="s">
        <v>28</v>
      </c>
      <c r="B31" s="174">
        <f>B4</f>
        <v>98400</v>
      </c>
      <c r="C31" s="174">
        <f>C4</f>
        <v>129600</v>
      </c>
      <c r="D31" s="174">
        <f>D4</f>
        <v>167400</v>
      </c>
    </row>
    <row r="32" spans="1:4" ht="15" thickBot="1" x14ac:dyDescent="0.3">
      <c r="A32" s="69" t="s">
        <v>39</v>
      </c>
      <c r="B32" s="178">
        <f>B17</f>
        <v>0</v>
      </c>
      <c r="C32" s="178">
        <f t="shared" ref="C32:D32" si="11">C17</f>
        <v>0</v>
      </c>
      <c r="D32" s="178">
        <f t="shared" si="11"/>
        <v>0</v>
      </c>
    </row>
  </sheetData>
  <mergeCells count="1">
    <mergeCell ref="A1:D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97034"/>
  </sheetPr>
  <dimension ref="A1:Q65"/>
  <sheetViews>
    <sheetView zoomScaleNormal="100" zoomScalePageLayoutView="190" workbookViewId="0">
      <pane ySplit="3" topLeftCell="A4" activePane="bottomLeft" state="frozen"/>
      <selection pane="bottomLeft" activeCell="N17" sqref="N17:N18"/>
    </sheetView>
  </sheetViews>
  <sheetFormatPr defaultColWidth="8.59765625" defaultRowHeight="14.4" x14ac:dyDescent="0.25"/>
  <cols>
    <col min="1" max="1" width="50.19921875" style="76" customWidth="1"/>
    <col min="2" max="4" width="10.3984375" style="76" customWidth="1"/>
    <col min="5" max="5" width="5.19921875" style="76" customWidth="1"/>
    <col min="6" max="6" width="49.69921875" style="74" customWidth="1"/>
    <col min="7" max="7" width="10.8984375" style="75" customWidth="1"/>
    <col min="8" max="8" width="4.69921875" style="76" customWidth="1"/>
    <col min="9" max="9" width="8.59765625" style="76"/>
    <col min="10" max="10" width="3.69921875" style="76" customWidth="1"/>
    <col min="11" max="11" width="40.69921875" style="76" customWidth="1"/>
    <col min="12" max="12" width="22.69921875" style="76" bestFit="1" customWidth="1"/>
    <col min="13" max="13" width="20.09765625" style="76" customWidth="1"/>
    <col min="14" max="14" width="40.5" style="76" bestFit="1" customWidth="1"/>
    <col min="15" max="16" width="20.09765625" style="76" customWidth="1"/>
    <col min="17" max="16384" width="8.59765625" style="76"/>
  </cols>
  <sheetData>
    <row r="1" spans="1:16" x14ac:dyDescent="0.25">
      <c r="A1" s="296" t="s">
        <v>13</v>
      </c>
      <c r="B1" s="296"/>
      <c r="C1" s="296"/>
      <c r="D1" s="296"/>
      <c r="E1" s="296"/>
    </row>
    <row r="2" spans="1:16" x14ac:dyDescent="0.25">
      <c r="A2" s="296"/>
      <c r="B2" s="296"/>
      <c r="C2" s="296"/>
      <c r="D2" s="296"/>
      <c r="E2" s="296"/>
    </row>
    <row r="3" spans="1:16" x14ac:dyDescent="0.25">
      <c r="A3" s="77"/>
      <c r="B3" s="78" t="s">
        <v>100</v>
      </c>
      <c r="C3" s="78" t="s">
        <v>101</v>
      </c>
      <c r="D3" s="78" t="s">
        <v>102</v>
      </c>
    </row>
    <row r="4" spans="1:16" x14ac:dyDescent="0.3">
      <c r="A4" s="301" t="s">
        <v>103</v>
      </c>
      <c r="B4" s="301"/>
      <c r="C4" s="301"/>
      <c r="D4" s="301"/>
      <c r="E4" s="79"/>
      <c r="F4" s="272" t="s">
        <v>104</v>
      </c>
      <c r="G4" s="80">
        <f>L27*M17+L28*(1-M17)</f>
        <v>2.6750000000000003</v>
      </c>
      <c r="H4" s="75"/>
      <c r="L4" s="297" t="s">
        <v>105</v>
      </c>
      <c r="M4" s="298"/>
      <c r="N4" s="291" t="s">
        <v>106</v>
      </c>
      <c r="O4" s="292"/>
      <c r="P4" s="293"/>
    </row>
    <row r="5" spans="1:16" s="73" customFormat="1" x14ac:dyDescent="0.3">
      <c r="A5" s="81" t="s">
        <v>107</v>
      </c>
      <c r="B5" s="143">
        <f>'Επισκέψεις, Παραγγελίες, Τζίρος'!B15</f>
        <v>18761.047619047615</v>
      </c>
      <c r="C5" s="142">
        <f>'Επισκέψεις, Παραγγελίες, Τζίρος'!D15</f>
        <v>28893.073843058351</v>
      </c>
      <c r="D5" s="143">
        <f>'Επισκέψεις, Παραγγελίες, Τζίρος'!F15</f>
        <v>40135.514285714286</v>
      </c>
      <c r="E5" s="76"/>
      <c r="F5" s="272" t="s">
        <v>108</v>
      </c>
      <c r="G5" s="80">
        <v>1.5</v>
      </c>
      <c r="H5" s="75"/>
      <c r="K5" s="82"/>
      <c r="L5" s="83" t="s">
        <v>109</v>
      </c>
      <c r="M5" s="84" t="s">
        <v>110</v>
      </c>
      <c r="N5" s="76"/>
      <c r="O5" s="83" t="s">
        <v>109</v>
      </c>
      <c r="P5" s="84" t="s">
        <v>110</v>
      </c>
    </row>
    <row r="6" spans="1:16" s="73" customFormat="1" x14ac:dyDescent="0.3">
      <c r="A6" s="100" t="s">
        <v>111</v>
      </c>
      <c r="B6" s="155">
        <v>0.05</v>
      </c>
      <c r="C6" s="144">
        <v>0.05</v>
      </c>
      <c r="D6" s="155">
        <v>0.05</v>
      </c>
      <c r="E6" s="76"/>
      <c r="F6" s="272" t="s">
        <v>112</v>
      </c>
      <c r="G6" s="80">
        <v>0</v>
      </c>
      <c r="H6" s="75"/>
      <c r="K6" s="82"/>
      <c r="L6" s="83"/>
      <c r="M6" s="84"/>
      <c r="N6" s="76"/>
      <c r="O6" s="83"/>
      <c r="P6" s="84"/>
    </row>
    <row r="7" spans="1:16" x14ac:dyDescent="0.3">
      <c r="A7" s="134" t="s">
        <v>113</v>
      </c>
      <c r="B7" s="156">
        <f>B5*(1-B6)</f>
        <v>17822.995238095235</v>
      </c>
      <c r="C7" s="145">
        <f t="shared" ref="C7:D7" si="0">C5*(1-C6)</f>
        <v>27448.420150905433</v>
      </c>
      <c r="D7" s="156">
        <f t="shared" si="0"/>
        <v>38128.73857142857</v>
      </c>
      <c r="F7" s="272" t="s">
        <v>114</v>
      </c>
      <c r="G7" s="80">
        <v>2.5</v>
      </c>
      <c r="H7" s="75"/>
      <c r="J7" s="294" t="s">
        <v>115</v>
      </c>
      <c r="K7" s="115" t="s">
        <v>116</v>
      </c>
      <c r="L7" s="86">
        <v>1.6</v>
      </c>
      <c r="M7" s="87">
        <v>0.5</v>
      </c>
      <c r="N7" s="131" t="s">
        <v>117</v>
      </c>
      <c r="O7" s="86">
        <v>12.2</v>
      </c>
      <c r="P7" s="87">
        <v>1</v>
      </c>
    </row>
    <row r="8" spans="1:16" x14ac:dyDescent="0.3">
      <c r="A8" s="100" t="s">
        <v>118</v>
      </c>
      <c r="B8" s="147">
        <f>SUM($M$11:$M$12)</f>
        <v>0.4</v>
      </c>
      <c r="C8" s="146">
        <f>SUM($M$11:$M$12)</f>
        <v>0.4</v>
      </c>
      <c r="D8" s="147">
        <f>SUM($M$11:$M$12)</f>
        <v>0.4</v>
      </c>
      <c r="F8" s="272" t="s">
        <v>119</v>
      </c>
      <c r="G8" s="80">
        <v>6</v>
      </c>
      <c r="H8" s="75"/>
      <c r="J8" s="294"/>
      <c r="K8" s="116" t="s">
        <v>120</v>
      </c>
      <c r="L8" s="88">
        <v>1.7</v>
      </c>
      <c r="M8" s="89">
        <v>0.35</v>
      </c>
      <c r="N8" s="132" t="s">
        <v>121</v>
      </c>
      <c r="O8" s="88">
        <v>15.6</v>
      </c>
      <c r="P8" s="89">
        <v>0</v>
      </c>
    </row>
    <row r="9" spans="1:16" x14ac:dyDescent="0.3">
      <c r="A9" s="100" t="s">
        <v>122</v>
      </c>
      <c r="B9" s="157">
        <f>B7*B8</f>
        <v>7129.1980952380945</v>
      </c>
      <c r="C9" s="148">
        <f>C7*C8</f>
        <v>10979.368060362174</v>
      </c>
      <c r="D9" s="157">
        <f>D7*D8</f>
        <v>15251.495428571428</v>
      </c>
      <c r="F9" s="272" t="s">
        <v>260</v>
      </c>
      <c r="G9" s="80">
        <v>2</v>
      </c>
      <c r="H9" s="75"/>
      <c r="J9" s="294"/>
      <c r="K9" s="116" t="s">
        <v>123</v>
      </c>
      <c r="L9" s="88">
        <v>1.8</v>
      </c>
      <c r="M9" s="89">
        <v>0.13</v>
      </c>
      <c r="N9" s="132" t="s">
        <v>124</v>
      </c>
      <c r="O9" s="88">
        <v>17.5</v>
      </c>
      <c r="P9" s="89">
        <v>0</v>
      </c>
    </row>
    <row r="10" spans="1:16" x14ac:dyDescent="0.3">
      <c r="A10" s="100" t="s">
        <v>125</v>
      </c>
      <c r="B10" s="157">
        <f>B7*(1-B8)</f>
        <v>10693.79714285714</v>
      </c>
      <c r="C10" s="148">
        <f>C7*(1-C8)</f>
        <v>16469.05209054326</v>
      </c>
      <c r="D10" s="157">
        <f>D7*(1-D8)</f>
        <v>22877.24314285714</v>
      </c>
      <c r="F10" s="272" t="s">
        <v>126</v>
      </c>
      <c r="G10" s="80">
        <v>80</v>
      </c>
      <c r="H10" s="75"/>
      <c r="J10" s="294"/>
      <c r="K10" s="117" t="s">
        <v>127</v>
      </c>
      <c r="L10" s="91">
        <v>1.8</v>
      </c>
      <c r="M10" s="92">
        <v>0.02</v>
      </c>
      <c r="N10" s="133" t="s">
        <v>128</v>
      </c>
      <c r="O10" s="91" t="s">
        <v>11</v>
      </c>
      <c r="P10" s="92">
        <v>0.125</v>
      </c>
    </row>
    <row r="11" spans="1:16" x14ac:dyDescent="0.3">
      <c r="A11" s="100" t="s">
        <v>129</v>
      </c>
      <c r="B11" s="158">
        <f>$L$27</f>
        <v>2.915</v>
      </c>
      <c r="C11" s="149">
        <f t="shared" ref="C11:D11" si="1">$L$27</f>
        <v>2.915</v>
      </c>
      <c r="D11" s="158">
        <f t="shared" si="1"/>
        <v>2.915</v>
      </c>
      <c r="F11" s="272" t="s">
        <v>130</v>
      </c>
      <c r="G11" s="173">
        <f>SUM(B16:B20)/B15</f>
        <v>0.30147723846849567</v>
      </c>
      <c r="H11" s="75"/>
      <c r="J11" s="295" t="s">
        <v>131</v>
      </c>
      <c r="K11" s="128" t="s">
        <v>132</v>
      </c>
      <c r="L11" s="129">
        <v>1</v>
      </c>
      <c r="M11" s="130">
        <v>0.25</v>
      </c>
      <c r="N11" s="128"/>
      <c r="O11" s="129"/>
      <c r="P11" s="130"/>
    </row>
    <row r="12" spans="1:16" x14ac:dyDescent="0.3">
      <c r="A12" s="100" t="s">
        <v>133</v>
      </c>
      <c r="B12" s="158">
        <f>$L$28</f>
        <v>2.5150000000000001</v>
      </c>
      <c r="C12" s="149">
        <f t="shared" ref="C12:D12" si="2">$L$28</f>
        <v>2.5150000000000001</v>
      </c>
      <c r="D12" s="158">
        <f t="shared" si="2"/>
        <v>2.5150000000000001</v>
      </c>
      <c r="E12" s="73"/>
      <c r="H12" s="75"/>
      <c r="J12" s="295"/>
      <c r="K12" s="128" t="s">
        <v>134</v>
      </c>
      <c r="L12" s="129">
        <v>1</v>
      </c>
      <c r="M12" s="130">
        <v>0.15</v>
      </c>
      <c r="N12" s="128"/>
      <c r="O12" s="129"/>
      <c r="P12" s="130"/>
    </row>
    <row r="13" spans="1:16" x14ac:dyDescent="0.3">
      <c r="A13" s="134" t="s">
        <v>135</v>
      </c>
      <c r="B13" s="159">
        <f>B9*B11</f>
        <v>20781.612447619045</v>
      </c>
      <c r="C13" s="139">
        <f t="shared" ref="C13:D14" si="3">C9*C11</f>
        <v>32004.857895955738</v>
      </c>
      <c r="D13" s="159">
        <f t="shared" si="3"/>
        <v>44458.109174285717</v>
      </c>
      <c r="E13" s="73"/>
      <c r="H13" s="75"/>
      <c r="J13" s="295"/>
      <c r="K13" s="128" t="s">
        <v>136</v>
      </c>
      <c r="L13" s="129">
        <v>1.5</v>
      </c>
      <c r="M13" s="130">
        <v>0.2</v>
      </c>
      <c r="N13" s="128"/>
      <c r="O13" s="129"/>
      <c r="P13" s="130"/>
    </row>
    <row r="14" spans="1:16" x14ac:dyDescent="0.3">
      <c r="A14" s="135" t="s">
        <v>137</v>
      </c>
      <c r="B14" s="160">
        <f>B10*B12</f>
        <v>26894.899814285709</v>
      </c>
      <c r="C14" s="150">
        <f>C10*C12</f>
        <v>41419.666007716303</v>
      </c>
      <c r="D14" s="160">
        <f t="shared" si="3"/>
        <v>57536.266504285712</v>
      </c>
      <c r="E14" s="73"/>
      <c r="H14" s="75"/>
      <c r="J14" s="295"/>
      <c r="K14" s="128" t="s">
        <v>138</v>
      </c>
      <c r="L14" s="129">
        <v>2</v>
      </c>
      <c r="M14" s="130">
        <v>0</v>
      </c>
      <c r="N14" s="128"/>
      <c r="O14" s="129"/>
      <c r="P14" s="130"/>
    </row>
    <row r="15" spans="1:16" x14ac:dyDescent="0.3">
      <c r="A15" s="134" t="s">
        <v>139</v>
      </c>
      <c r="B15" s="161">
        <f>SUM(B13:B14)</f>
        <v>47676.512261904754</v>
      </c>
      <c r="C15" s="161">
        <f t="shared" ref="C15:D15" si="4">SUM(C13:C14)</f>
        <v>73424.523903672045</v>
      </c>
      <c r="D15" s="161">
        <f t="shared" si="4"/>
        <v>101994.37567857144</v>
      </c>
      <c r="E15" s="73"/>
      <c r="H15" s="75"/>
      <c r="J15" s="295"/>
      <c r="K15" s="128" t="s">
        <v>140</v>
      </c>
      <c r="L15" s="129">
        <v>5</v>
      </c>
      <c r="M15" s="130">
        <v>0</v>
      </c>
      <c r="N15" s="128"/>
      <c r="O15" s="129"/>
      <c r="P15" s="130"/>
    </row>
    <row r="16" spans="1:16" x14ac:dyDescent="0.3">
      <c r="A16" s="152" t="s">
        <v>141</v>
      </c>
      <c r="B16" s="162">
        <f>SUM($M$11:$M$12)*B7*($G5/1.24)</f>
        <v>8624.0299539170501</v>
      </c>
      <c r="C16" s="162">
        <f t="shared" ref="C16:D16" si="5">SUM($M$11:$M$12)*C7*($G5/1.24)</f>
        <v>13281.493621405856</v>
      </c>
      <c r="D16" s="162">
        <f t="shared" si="5"/>
        <v>18449.389631336406</v>
      </c>
      <c r="E16" s="73"/>
      <c r="H16" s="75"/>
      <c r="J16" s="295"/>
      <c r="K16" s="128" t="s">
        <v>142</v>
      </c>
      <c r="L16" s="129">
        <v>0</v>
      </c>
      <c r="M16" s="130">
        <v>1</v>
      </c>
      <c r="N16" s="128"/>
      <c r="O16" s="129"/>
      <c r="P16" s="130"/>
    </row>
    <row r="17" spans="1:17" x14ac:dyDescent="0.3">
      <c r="A17" s="152" t="s">
        <v>143</v>
      </c>
      <c r="B17" s="162">
        <f>SUM($M$13)*B7*($G6/1.24)</f>
        <v>0</v>
      </c>
      <c r="C17" s="162">
        <f t="shared" ref="C17:D17" si="6">SUM($M$13)*C7*($G6/1.24)</f>
        <v>0</v>
      </c>
      <c r="D17" s="162">
        <f t="shared" si="6"/>
        <v>0</v>
      </c>
      <c r="H17" s="75"/>
      <c r="J17" s="294" t="s">
        <v>144</v>
      </c>
      <c r="K17" s="118" t="s">
        <v>145</v>
      </c>
      <c r="L17" s="93" t="s">
        <v>11</v>
      </c>
      <c r="M17" s="94">
        <v>0.4</v>
      </c>
      <c r="N17" s="118" t="s">
        <v>145</v>
      </c>
      <c r="O17" s="93" t="s">
        <v>11</v>
      </c>
      <c r="P17" s="94">
        <f>SUM(P11:P12)</f>
        <v>0</v>
      </c>
    </row>
    <row r="18" spans="1:17" x14ac:dyDescent="0.3">
      <c r="A18" s="152" t="s">
        <v>146</v>
      </c>
      <c r="B18" s="162">
        <f>SUM($M$14)*B7*($G7/1.24)</f>
        <v>0</v>
      </c>
      <c r="C18" s="162">
        <f t="shared" ref="C18:D18" si="7">SUM($M$14)*C7*($G7/1.24)</f>
        <v>0</v>
      </c>
      <c r="D18" s="162">
        <f t="shared" si="7"/>
        <v>0</v>
      </c>
      <c r="H18" s="75"/>
      <c r="J18" s="294"/>
      <c r="K18" s="118" t="s">
        <v>228</v>
      </c>
      <c r="L18" s="95"/>
      <c r="M18" s="96">
        <v>0.55000000000000004</v>
      </c>
      <c r="N18" s="118" t="s">
        <v>228</v>
      </c>
      <c r="O18" s="95"/>
      <c r="P18" s="96">
        <v>0.8</v>
      </c>
    </row>
    <row r="19" spans="1:17" x14ac:dyDescent="0.3">
      <c r="A19" s="152" t="s">
        <v>148</v>
      </c>
      <c r="B19" s="162">
        <f>SUM($M$15)*B7*($G8/1.24)</f>
        <v>0</v>
      </c>
      <c r="C19" s="162">
        <f t="shared" ref="C19:D19" si="8">SUM($M$15)*C7*($G8/1.24)</f>
        <v>0</v>
      </c>
      <c r="D19" s="162">
        <f t="shared" si="8"/>
        <v>0</v>
      </c>
      <c r="H19" s="75"/>
      <c r="J19" s="294"/>
      <c r="K19" s="119" t="s">
        <v>149</v>
      </c>
      <c r="L19" s="97"/>
      <c r="M19" s="98">
        <v>0.05</v>
      </c>
      <c r="N19" s="119" t="s">
        <v>149</v>
      </c>
      <c r="O19" s="97"/>
      <c r="P19" s="98">
        <v>0.2</v>
      </c>
    </row>
    <row r="20" spans="1:17" x14ac:dyDescent="0.3">
      <c r="A20" s="303" t="s">
        <v>261</v>
      </c>
      <c r="B20" s="163">
        <f>B7*$M$26*($G9/1.24)</f>
        <v>5749.3533026113673</v>
      </c>
      <c r="C20" s="163">
        <f>C7*$M$26*($G9/1.24)</f>
        <v>8854.3290809372374</v>
      </c>
      <c r="D20" s="163">
        <f t="shared" ref="D20" si="9">D7*$M$26*($G9/1.24)</f>
        <v>12299.593087557605</v>
      </c>
      <c r="H20" s="75"/>
      <c r="J20" s="299" t="s">
        <v>150</v>
      </c>
      <c r="K20" s="120" t="s">
        <v>151</v>
      </c>
      <c r="L20" s="102" t="s">
        <v>11</v>
      </c>
      <c r="M20" s="103">
        <v>0.35</v>
      </c>
      <c r="N20" s="121" t="s">
        <v>151</v>
      </c>
      <c r="O20" s="102" t="s">
        <v>11</v>
      </c>
      <c r="P20" s="103">
        <v>0.35</v>
      </c>
      <c r="Q20" s="73"/>
    </row>
    <row r="21" spans="1:17" s="73" customFormat="1" x14ac:dyDescent="0.3">
      <c r="A21" s="134" t="s">
        <v>152</v>
      </c>
      <c r="B21" s="161">
        <f>B15-SUM(B16:B20)</f>
        <v>33303.129005376337</v>
      </c>
      <c r="C21" s="151">
        <f>C15-SUM(C16:C20)</f>
        <v>51288.70120132895</v>
      </c>
      <c r="D21" s="161">
        <f>D15-SUM(D16:D20)</f>
        <v>71245.392959677425</v>
      </c>
      <c r="E21" s="76"/>
      <c r="F21" s="99"/>
      <c r="G21" s="99"/>
      <c r="H21" s="85"/>
      <c r="J21" s="299"/>
      <c r="K21" s="122" t="s">
        <v>153</v>
      </c>
      <c r="L21" s="104">
        <v>0.5</v>
      </c>
      <c r="M21" s="105">
        <v>0.3</v>
      </c>
      <c r="N21" s="123" t="s">
        <v>153</v>
      </c>
      <c r="O21" s="104">
        <v>3</v>
      </c>
      <c r="P21" s="105">
        <v>0.3</v>
      </c>
      <c r="Q21" s="76"/>
    </row>
    <row r="22" spans="1:17" x14ac:dyDescent="0.3">
      <c r="A22" s="100"/>
      <c r="B22" s="164"/>
      <c r="C22" s="136"/>
      <c r="D22" s="164"/>
      <c r="E22" s="85"/>
      <c r="F22" s="99"/>
      <c r="G22" s="101"/>
      <c r="H22" s="73"/>
      <c r="J22" s="299"/>
      <c r="K22" s="122" t="s">
        <v>154</v>
      </c>
      <c r="L22" s="104">
        <v>1</v>
      </c>
      <c r="M22" s="105">
        <v>0.25</v>
      </c>
      <c r="N22" s="123" t="s">
        <v>154</v>
      </c>
      <c r="O22" s="104">
        <v>6.5</v>
      </c>
      <c r="P22" s="105">
        <v>0.25</v>
      </c>
    </row>
    <row r="23" spans="1:17" x14ac:dyDescent="0.3">
      <c r="A23" s="304" t="s">
        <v>262</v>
      </c>
      <c r="B23" s="164"/>
      <c r="C23" s="136"/>
      <c r="D23" s="164"/>
      <c r="E23" s="85"/>
      <c r="F23" s="99"/>
      <c r="G23" s="101"/>
      <c r="H23" s="73"/>
      <c r="J23" s="299"/>
      <c r="K23" s="122" t="s">
        <v>155</v>
      </c>
      <c r="L23" s="104">
        <v>1.5</v>
      </c>
      <c r="M23" s="105">
        <v>0.1</v>
      </c>
      <c r="N23" s="123" t="s">
        <v>155</v>
      </c>
      <c r="O23" s="104">
        <v>9.5</v>
      </c>
      <c r="P23" s="105">
        <v>0.1</v>
      </c>
    </row>
    <row r="24" spans="1:17" ht="27.6" x14ac:dyDescent="0.3">
      <c r="A24" s="100" t="s">
        <v>156</v>
      </c>
      <c r="B24" s="138">
        <v>0.03</v>
      </c>
      <c r="C24" s="137">
        <v>0.03</v>
      </c>
      <c r="D24" s="138">
        <v>0.03</v>
      </c>
      <c r="E24" s="85"/>
      <c r="F24" s="99"/>
      <c r="G24" s="101"/>
      <c r="H24" s="73"/>
      <c r="J24" s="213" t="s">
        <v>157</v>
      </c>
      <c r="K24" s="122"/>
      <c r="L24" s="104"/>
      <c r="M24" s="105"/>
      <c r="N24" s="123"/>
      <c r="O24" s="104"/>
      <c r="P24" s="105"/>
    </row>
    <row r="25" spans="1:17" x14ac:dyDescent="0.3">
      <c r="A25" s="100" t="s">
        <v>158</v>
      </c>
      <c r="B25" s="157">
        <f>B7*B24</f>
        <v>534.68985714285702</v>
      </c>
      <c r="C25" s="148">
        <f>C7*C24</f>
        <v>823.45260452716298</v>
      </c>
      <c r="D25" s="157">
        <f>D7*D24</f>
        <v>1143.8621571428571</v>
      </c>
      <c r="E25" s="85"/>
      <c r="F25" s="99"/>
      <c r="G25" s="101"/>
      <c r="H25" s="73"/>
      <c r="J25" s="300" t="s">
        <v>159</v>
      </c>
      <c r="K25" s="122"/>
      <c r="L25" s="104"/>
      <c r="M25" s="105"/>
      <c r="N25" s="123"/>
      <c r="O25" s="104"/>
      <c r="P25" s="105"/>
    </row>
    <row r="26" spans="1:17" x14ac:dyDescent="0.3">
      <c r="A26" s="100" t="s">
        <v>160</v>
      </c>
      <c r="B26" s="158">
        <f>$L$28*2</f>
        <v>5.03</v>
      </c>
      <c r="C26" s="149">
        <f t="shared" ref="C26:D26" si="10">$L$28*2</f>
        <v>5.03</v>
      </c>
      <c r="D26" s="158">
        <f t="shared" si="10"/>
        <v>5.03</v>
      </c>
      <c r="E26" s="85"/>
      <c r="F26" s="99"/>
      <c r="G26" s="101"/>
      <c r="H26" s="73"/>
      <c r="J26" s="300"/>
      <c r="K26" s="124" t="s">
        <v>161</v>
      </c>
      <c r="L26" s="106"/>
      <c r="M26" s="107">
        <v>0.2</v>
      </c>
      <c r="N26" s="124" t="s">
        <v>162</v>
      </c>
      <c r="O26" s="106"/>
      <c r="P26" s="107">
        <v>0.4</v>
      </c>
    </row>
    <row r="27" spans="1:17" x14ac:dyDescent="0.3">
      <c r="A27" s="152" t="s">
        <v>163</v>
      </c>
      <c r="B27" s="165">
        <f>B25*0/1.24</f>
        <v>0</v>
      </c>
      <c r="C27" s="154">
        <f>C25*0/1.24</f>
        <v>0</v>
      </c>
      <c r="D27" s="165">
        <f>D25*0/1.24</f>
        <v>0</v>
      </c>
      <c r="E27" s="85"/>
      <c r="F27" s="99"/>
      <c r="G27" s="101"/>
      <c r="H27" s="73"/>
      <c r="K27" s="125" t="s">
        <v>164</v>
      </c>
      <c r="L27" s="109">
        <f>SUMPRODUCT(L7:L16,M7:M16)+SUMPRODUCT(L21:L23,M21:M23)</f>
        <v>2.915</v>
      </c>
      <c r="M27" s="110"/>
      <c r="N27" s="126" t="s">
        <v>165</v>
      </c>
      <c r="O27" s="109"/>
      <c r="P27" s="110"/>
    </row>
    <row r="28" spans="1:17" x14ac:dyDescent="0.3">
      <c r="A28" s="140" t="s">
        <v>263</v>
      </c>
      <c r="B28" s="166">
        <f>B25*B26-B27</f>
        <v>2689.4899814285709</v>
      </c>
      <c r="C28" s="141">
        <f t="shared" ref="C28:D28" si="11">C25*C26-C27</f>
        <v>4141.9666007716296</v>
      </c>
      <c r="D28" s="166">
        <f t="shared" si="11"/>
        <v>5753.6266504285713</v>
      </c>
      <c r="E28" s="85"/>
      <c r="F28" s="99"/>
      <c r="G28" s="101"/>
      <c r="H28" s="73"/>
      <c r="K28" s="127" t="s">
        <v>166</v>
      </c>
      <c r="L28" s="111">
        <f>(M7*L7)+(M8*L8)+(M9*L9)+(M10*L10)+(L21*M21)+(L22*M22)+(L16*M16)+(L13*M13)+(L14*M14)+(L15*M15)+(L23*M23)</f>
        <v>2.5150000000000001</v>
      </c>
      <c r="M28" s="112"/>
      <c r="N28" s="113"/>
      <c r="O28" s="111">
        <f>(P7*O7)+(P8*O8)+(P9*O9)+(O21*P21)+(O22*P22)+(O23*P23)*(1+P10)</f>
        <v>15.793749999999999</v>
      </c>
      <c r="P28" s="112"/>
    </row>
    <row r="29" spans="1:17" x14ac:dyDescent="0.25">
      <c r="A29" s="183" t="s">
        <v>167</v>
      </c>
      <c r="B29" s="184">
        <f>B21+B28</f>
        <v>35992.618986804911</v>
      </c>
      <c r="C29" s="184">
        <f>C21+C28</f>
        <v>55430.667802100579</v>
      </c>
      <c r="D29" s="184">
        <f>D21+D28</f>
        <v>76999.019610105999</v>
      </c>
      <c r="E29" s="85"/>
      <c r="F29" s="99"/>
      <c r="G29" s="101"/>
      <c r="H29" s="73"/>
    </row>
    <row r="30" spans="1:17" x14ac:dyDescent="0.25">
      <c r="A30" s="72"/>
      <c r="B30" s="90"/>
      <c r="C30" s="90"/>
      <c r="D30" s="90"/>
      <c r="E30" s="85"/>
      <c r="F30" s="99"/>
      <c r="G30" s="101"/>
      <c r="H30" s="73"/>
      <c r="K30" s="74"/>
    </row>
    <row r="31" spans="1:17" x14ac:dyDescent="0.3">
      <c r="A31" s="72"/>
      <c r="B31" s="90"/>
      <c r="C31" s="90"/>
      <c r="D31" s="90"/>
      <c r="E31" s="85"/>
      <c r="F31" s="99"/>
      <c r="G31" s="101"/>
      <c r="H31" s="73"/>
      <c r="J31" s="74"/>
      <c r="K31" s="291" t="s">
        <v>106</v>
      </c>
      <c r="L31" s="292"/>
      <c r="M31" s="293"/>
    </row>
    <row r="32" spans="1:17" x14ac:dyDescent="0.3">
      <c r="A32" s="74"/>
      <c r="B32" s="74"/>
      <c r="C32" s="74"/>
      <c r="D32" s="74"/>
      <c r="E32" s="74"/>
      <c r="G32" s="74"/>
      <c r="H32" s="85"/>
      <c r="L32" s="83" t="s">
        <v>109</v>
      </c>
      <c r="M32" s="84" t="s">
        <v>110</v>
      </c>
    </row>
    <row r="33" spans="1:13" x14ac:dyDescent="0.3">
      <c r="A33" s="290" t="s">
        <v>168</v>
      </c>
      <c r="B33" s="290"/>
      <c r="C33" s="290"/>
      <c r="D33" s="290"/>
      <c r="E33" s="114"/>
      <c r="F33" s="273" t="s">
        <v>104</v>
      </c>
      <c r="G33" s="170">
        <f>P27*P17+O28*(1-P17)</f>
        <v>15.793749999999999</v>
      </c>
      <c r="H33" s="85"/>
      <c r="L33" s="83"/>
      <c r="M33" s="84"/>
    </row>
    <row r="34" spans="1:13" x14ac:dyDescent="0.3">
      <c r="A34" s="81" t="s">
        <v>169</v>
      </c>
      <c r="B34" s="143">
        <f>'Επισκέψεις, Παραγγελίες, Τζίρος'!B33</f>
        <v>0</v>
      </c>
      <c r="C34" s="142">
        <f>'Επισκέψεις, Παραγγελίες, Τζίρος'!D33</f>
        <v>0</v>
      </c>
      <c r="D34" s="143">
        <f>'Επισκέψεις, Παραγγελίες, Τζίρος'!F33</f>
        <v>0</v>
      </c>
      <c r="F34" s="273" t="s">
        <v>108</v>
      </c>
      <c r="G34" s="170">
        <v>1.5</v>
      </c>
      <c r="H34" s="85"/>
      <c r="J34" s="282" t="s">
        <v>115</v>
      </c>
      <c r="K34" s="131" t="s">
        <v>117</v>
      </c>
      <c r="L34" s="86">
        <v>12.2</v>
      </c>
      <c r="M34" s="87">
        <v>1</v>
      </c>
    </row>
    <row r="35" spans="1:13" x14ac:dyDescent="0.3">
      <c r="A35" s="100" t="s">
        <v>111</v>
      </c>
      <c r="B35" s="155">
        <v>0</v>
      </c>
      <c r="C35" s="144">
        <v>0</v>
      </c>
      <c r="D35" s="155">
        <v>0</v>
      </c>
      <c r="E35" s="74"/>
      <c r="F35" s="273" t="s">
        <v>170</v>
      </c>
      <c r="G35" s="170">
        <v>9.99</v>
      </c>
      <c r="H35" s="85"/>
      <c r="J35" s="283"/>
      <c r="K35" s="132" t="s">
        <v>121</v>
      </c>
      <c r="L35" s="88">
        <v>15.6</v>
      </c>
      <c r="M35" s="89">
        <v>0</v>
      </c>
    </row>
    <row r="36" spans="1:13" x14ac:dyDescent="0.3">
      <c r="A36" s="134" t="s">
        <v>113</v>
      </c>
      <c r="B36" s="156">
        <f>B34*(1-B35)</f>
        <v>0</v>
      </c>
      <c r="C36" s="145">
        <f t="shared" ref="C36" si="12">C34*(1-C35)</f>
        <v>0</v>
      </c>
      <c r="D36" s="156">
        <f t="shared" ref="D36" si="13">D34*(1-D35)</f>
        <v>0</v>
      </c>
      <c r="E36" s="74"/>
      <c r="F36" s="273" t="s">
        <v>126</v>
      </c>
      <c r="G36" s="170">
        <v>85</v>
      </c>
      <c r="H36" s="85"/>
      <c r="J36" s="283"/>
      <c r="K36" s="132" t="s">
        <v>124</v>
      </c>
      <c r="L36" s="88">
        <v>17.5</v>
      </c>
      <c r="M36" s="89">
        <v>0</v>
      </c>
    </row>
    <row r="37" spans="1:13" x14ac:dyDescent="0.3">
      <c r="A37" s="100" t="s">
        <v>118</v>
      </c>
      <c r="B37" s="147">
        <f>SUM($P$11:$P$12)</f>
        <v>0</v>
      </c>
      <c r="C37" s="146">
        <f>SUM($P$11:$P$12)</f>
        <v>0</v>
      </c>
      <c r="D37" s="147">
        <f>SUM($P$11:$P$12)</f>
        <v>0</v>
      </c>
      <c r="E37" s="74"/>
      <c r="F37" s="273" t="s">
        <v>130</v>
      </c>
      <c r="G37" s="171" t="e">
        <f>SUM(C45:C46)/C44</f>
        <v>#DIV/0!</v>
      </c>
      <c r="H37" s="85"/>
      <c r="J37" s="284"/>
      <c r="K37" s="133" t="s">
        <v>128</v>
      </c>
      <c r="L37" s="91" t="s">
        <v>11</v>
      </c>
      <c r="M37" s="92">
        <v>0.125</v>
      </c>
    </row>
    <row r="38" spans="1:13" x14ac:dyDescent="0.3">
      <c r="A38" s="100" t="s">
        <v>122</v>
      </c>
      <c r="B38" s="157">
        <f>B36*B37</f>
        <v>0</v>
      </c>
      <c r="C38" s="148">
        <f>C36*C37</f>
        <v>0</v>
      </c>
      <c r="D38" s="157">
        <f>D36*D37</f>
        <v>0</v>
      </c>
      <c r="E38" s="74"/>
      <c r="H38" s="73"/>
      <c r="J38" s="282" t="s">
        <v>131</v>
      </c>
      <c r="K38" s="218"/>
      <c r="L38" s="129"/>
      <c r="M38" s="130"/>
    </row>
    <row r="39" spans="1:13" x14ac:dyDescent="0.3">
      <c r="A39" s="100" t="s">
        <v>125</v>
      </c>
      <c r="B39" s="157">
        <f>B36*(1-B37)</f>
        <v>0</v>
      </c>
      <c r="C39" s="148">
        <f>C36*(1-C37)</f>
        <v>0</v>
      </c>
      <c r="D39" s="157">
        <f>D36*(1-D37)</f>
        <v>0</v>
      </c>
      <c r="E39" s="74"/>
      <c r="H39" s="73"/>
      <c r="J39" s="283"/>
      <c r="K39" s="218"/>
      <c r="L39" s="129"/>
      <c r="M39" s="130"/>
    </row>
    <row r="40" spans="1:13" x14ac:dyDescent="0.3">
      <c r="A40" s="100" t="s">
        <v>129</v>
      </c>
      <c r="B40" s="158">
        <v>0</v>
      </c>
      <c r="C40" s="149">
        <v>0</v>
      </c>
      <c r="D40" s="158">
        <v>0</v>
      </c>
      <c r="E40" s="74"/>
      <c r="H40" s="73"/>
      <c r="I40" s="74"/>
      <c r="J40" s="283"/>
      <c r="K40" s="218"/>
      <c r="L40" s="129"/>
      <c r="M40" s="130"/>
    </row>
    <row r="41" spans="1:13" x14ac:dyDescent="0.3">
      <c r="A41" s="100" t="s">
        <v>133</v>
      </c>
      <c r="B41" s="158">
        <f>$O$28</f>
        <v>15.793749999999999</v>
      </c>
      <c r="C41" s="149">
        <f>$O$28</f>
        <v>15.793749999999999</v>
      </c>
      <c r="D41" s="158">
        <f>$O$28</f>
        <v>15.793749999999999</v>
      </c>
      <c r="E41" s="74"/>
      <c r="G41" s="74"/>
      <c r="H41" s="74"/>
      <c r="I41" s="74"/>
      <c r="J41" s="283"/>
      <c r="K41" s="218"/>
      <c r="L41" s="129"/>
      <c r="M41" s="130"/>
    </row>
    <row r="42" spans="1:13" x14ac:dyDescent="0.3">
      <c r="A42" s="134" t="s">
        <v>135</v>
      </c>
      <c r="B42" s="159">
        <f>B38*B40</f>
        <v>0</v>
      </c>
      <c r="C42" s="139">
        <f>C38*C40</f>
        <v>0</v>
      </c>
      <c r="D42" s="159">
        <f t="shared" ref="D42" si="14">D38*D40</f>
        <v>0</v>
      </c>
      <c r="E42" s="74"/>
      <c r="G42" s="73"/>
      <c r="H42" s="74"/>
      <c r="I42" s="74"/>
      <c r="J42" s="283"/>
      <c r="K42" s="218"/>
      <c r="L42" s="129"/>
      <c r="M42" s="130"/>
    </row>
    <row r="43" spans="1:13" x14ac:dyDescent="0.3">
      <c r="A43" s="135" t="s">
        <v>137</v>
      </c>
      <c r="B43" s="160">
        <f>B39*B41</f>
        <v>0</v>
      </c>
      <c r="C43" s="150">
        <f>C39*C41</f>
        <v>0</v>
      </c>
      <c r="D43" s="160">
        <f>D39*D41</f>
        <v>0</v>
      </c>
      <c r="E43" s="74"/>
      <c r="G43" s="99"/>
      <c r="H43" s="74"/>
      <c r="I43" s="74"/>
      <c r="J43" s="284"/>
      <c r="K43" s="218"/>
      <c r="L43" s="129"/>
      <c r="M43" s="130"/>
    </row>
    <row r="44" spans="1:13" x14ac:dyDescent="0.3">
      <c r="A44" s="134" t="s">
        <v>139</v>
      </c>
      <c r="B44" s="161">
        <f>SUM(B42:B43)</f>
        <v>0</v>
      </c>
      <c r="C44" s="161">
        <f t="shared" ref="C44" si="15">SUM(C42:C43)</f>
        <v>0</v>
      </c>
      <c r="D44" s="161">
        <f t="shared" ref="D44" si="16">SUM(D42:D43)</f>
        <v>0</v>
      </c>
      <c r="E44" s="74"/>
      <c r="G44" s="73"/>
      <c r="H44" s="74"/>
      <c r="I44" s="168"/>
      <c r="J44" s="282" t="s">
        <v>144</v>
      </c>
      <c r="K44" s="119" t="s">
        <v>145</v>
      </c>
      <c r="L44" s="93" t="s">
        <v>11</v>
      </c>
      <c r="M44" s="94">
        <f>SUM(M38:M39)</f>
        <v>0</v>
      </c>
    </row>
    <row r="45" spans="1:13" x14ac:dyDescent="0.3">
      <c r="A45" s="152" t="s">
        <v>141</v>
      </c>
      <c r="B45" s="172">
        <f>SUM($P$11:$P$12)*B34*($G34/1.24)</f>
        <v>0</v>
      </c>
      <c r="C45" s="172">
        <f>SUM($P$11:$P$12)*C34*($G34/1.24)</f>
        <v>0</v>
      </c>
      <c r="D45" s="172">
        <f>SUM($P$11:$P$12)*D34*($G34/1.24)</f>
        <v>0</v>
      </c>
      <c r="E45" s="168"/>
      <c r="F45" s="168"/>
      <c r="G45" s="169"/>
      <c r="H45" s="168"/>
      <c r="I45" s="74"/>
      <c r="J45" s="283"/>
      <c r="K45" s="119" t="s">
        <v>147</v>
      </c>
      <c r="L45" s="95"/>
      <c r="M45" s="96">
        <v>0.8</v>
      </c>
    </row>
    <row r="46" spans="1:13" x14ac:dyDescent="0.3">
      <c r="A46" s="303" t="s">
        <v>261</v>
      </c>
      <c r="B46" s="163">
        <f>B34*$P$26*($G35/1.24)</f>
        <v>0</v>
      </c>
      <c r="C46" s="153">
        <f>C34*$P$26*($G35/1.24)</f>
        <v>0</v>
      </c>
      <c r="D46" s="163">
        <f>D34*$P$26*($G35/1.24)</f>
        <v>0</v>
      </c>
      <c r="E46" s="74"/>
      <c r="H46" s="74"/>
      <c r="I46" s="74"/>
      <c r="J46" s="284"/>
      <c r="K46" s="119" t="s">
        <v>149</v>
      </c>
      <c r="L46" s="97"/>
      <c r="M46" s="98">
        <v>0.2</v>
      </c>
    </row>
    <row r="47" spans="1:13" x14ac:dyDescent="0.3">
      <c r="A47" s="134" t="s">
        <v>171</v>
      </c>
      <c r="B47" s="161">
        <f>B44-SUM(B45:B46)</f>
        <v>0</v>
      </c>
      <c r="C47" s="151">
        <f>C44-SUM(C45:C46)</f>
        <v>0</v>
      </c>
      <c r="D47" s="161">
        <f>D44-SUM(D45:D46)</f>
        <v>0</v>
      </c>
      <c r="E47" s="74"/>
      <c r="H47" s="74"/>
      <c r="I47" s="74"/>
      <c r="J47" s="285" t="s">
        <v>150</v>
      </c>
      <c r="K47" s="121" t="s">
        <v>151</v>
      </c>
      <c r="L47" s="102" t="s">
        <v>11</v>
      </c>
      <c r="M47" s="103">
        <v>0.35</v>
      </c>
    </row>
    <row r="48" spans="1:13" x14ac:dyDescent="0.3">
      <c r="A48" s="100"/>
      <c r="B48" s="164"/>
      <c r="C48" s="136"/>
      <c r="D48" s="164"/>
      <c r="E48" s="74"/>
      <c r="H48" s="74"/>
      <c r="I48" s="74"/>
      <c r="J48" s="286"/>
      <c r="K48" s="123" t="s">
        <v>153</v>
      </c>
      <c r="L48" s="104">
        <v>3</v>
      </c>
      <c r="M48" s="105">
        <v>0.3</v>
      </c>
    </row>
    <row r="49" spans="1:16" x14ac:dyDescent="0.3">
      <c r="A49" s="304" t="s">
        <v>262</v>
      </c>
      <c r="B49" s="164"/>
      <c r="C49" s="136"/>
      <c r="D49" s="164"/>
      <c r="E49" s="74"/>
      <c r="H49" s="74"/>
      <c r="I49" s="74"/>
      <c r="J49" s="286"/>
      <c r="K49" s="123" t="s">
        <v>154</v>
      </c>
      <c r="L49" s="104">
        <v>6.5</v>
      </c>
      <c r="M49" s="105">
        <v>0.25</v>
      </c>
    </row>
    <row r="50" spans="1:16" x14ac:dyDescent="0.3">
      <c r="A50" s="100" t="s">
        <v>156</v>
      </c>
      <c r="B50" s="138">
        <v>0.05</v>
      </c>
      <c r="C50" s="137">
        <v>0.05</v>
      </c>
      <c r="D50" s="138">
        <v>0.05</v>
      </c>
      <c r="E50" s="74"/>
      <c r="H50" s="74"/>
      <c r="I50" s="74"/>
      <c r="J50" s="287"/>
      <c r="K50" s="123" t="s">
        <v>155</v>
      </c>
      <c r="L50" s="104">
        <v>9.5</v>
      </c>
      <c r="M50" s="105">
        <v>0.1</v>
      </c>
    </row>
    <row r="51" spans="1:16" ht="27.6" x14ac:dyDescent="0.3">
      <c r="A51" s="100" t="s">
        <v>158</v>
      </c>
      <c r="B51" s="157">
        <f>B36*B50</f>
        <v>0</v>
      </c>
      <c r="C51" s="148">
        <f>C36*C50</f>
        <v>0</v>
      </c>
      <c r="D51" s="157">
        <f>D36*D50</f>
        <v>0</v>
      </c>
      <c r="H51" s="74"/>
      <c r="J51" s="217" t="s">
        <v>157</v>
      </c>
      <c r="K51" s="123"/>
      <c r="L51" s="104"/>
      <c r="M51" s="105"/>
    </row>
    <row r="52" spans="1:16" x14ac:dyDescent="0.3">
      <c r="A52" s="100" t="s">
        <v>172</v>
      </c>
      <c r="B52" s="158">
        <f>$O$28*2</f>
        <v>31.587499999999999</v>
      </c>
      <c r="C52" s="149">
        <f>$O$28*2</f>
        <v>31.587499999999999</v>
      </c>
      <c r="D52" s="158">
        <f>$O$28*2</f>
        <v>31.587499999999999</v>
      </c>
      <c r="H52" s="108"/>
      <c r="J52" s="288" t="s">
        <v>159</v>
      </c>
      <c r="K52" s="123"/>
      <c r="L52" s="104"/>
      <c r="M52" s="105"/>
    </row>
    <row r="53" spans="1:16" ht="27.6" customHeight="1" x14ac:dyDescent="0.3">
      <c r="A53" s="152" t="s">
        <v>141</v>
      </c>
      <c r="B53" s="165">
        <f>B51*0/1.24</f>
        <v>0</v>
      </c>
      <c r="C53" s="154">
        <f>C51*0/1.24</f>
        <v>0</v>
      </c>
      <c r="D53" s="165">
        <f>D51*0/1.24</f>
        <v>0</v>
      </c>
      <c r="H53" s="85"/>
      <c r="J53" s="289"/>
      <c r="K53" s="219" t="s">
        <v>173</v>
      </c>
      <c r="L53" s="106"/>
      <c r="M53" s="107">
        <v>0.15</v>
      </c>
    </row>
    <row r="54" spans="1:16" x14ac:dyDescent="0.3">
      <c r="A54" s="140" t="s">
        <v>263</v>
      </c>
      <c r="B54" s="166">
        <f>B51*B52-B53</f>
        <v>0</v>
      </c>
      <c r="C54" s="141">
        <f>C51*C52-C53</f>
        <v>0</v>
      </c>
      <c r="D54" s="166">
        <f t="shared" ref="D54" si="17">D51*D52-D53</f>
        <v>0</v>
      </c>
      <c r="H54" s="85"/>
      <c r="J54" s="220"/>
      <c r="K54" s="126" t="s">
        <v>165</v>
      </c>
      <c r="L54" s="109"/>
      <c r="M54" s="110"/>
    </row>
    <row r="55" spans="1:16" x14ac:dyDescent="0.3">
      <c r="A55" s="181" t="s">
        <v>174</v>
      </c>
      <c r="B55" s="182">
        <f>B47+B54</f>
        <v>0</v>
      </c>
      <c r="C55" s="182">
        <f>C47+C54</f>
        <v>0</v>
      </c>
      <c r="D55" s="182">
        <f>D47+D54</f>
        <v>0</v>
      </c>
      <c r="H55" s="85"/>
      <c r="J55" s="221"/>
      <c r="K55" s="113"/>
      <c r="L55" s="111">
        <f>((M34*L34)+(M35*L35)+(M36*L36)+(L48*M48)+(L49*M49)+(L50*M50))*(1+M37)</f>
        <v>17.634374999999999</v>
      </c>
      <c r="M55" s="112"/>
    </row>
    <row r="56" spans="1:16" x14ac:dyDescent="0.25">
      <c r="H56" s="73"/>
    </row>
    <row r="57" spans="1:16" ht="15" thickBot="1" x14ac:dyDescent="0.3"/>
    <row r="58" spans="1:16" ht="16.2" thickTop="1" x14ac:dyDescent="0.25">
      <c r="A58" s="185" t="s">
        <v>139</v>
      </c>
      <c r="B58" s="186">
        <f>SUM(B59:B60)</f>
        <v>35992.618986804911</v>
      </c>
      <c r="C58" s="186">
        <f>SUM(C59:C60)</f>
        <v>55430.667802100579</v>
      </c>
      <c r="D58" s="187">
        <f>SUM(D59:D60)</f>
        <v>76999.019610105999</v>
      </c>
    </row>
    <row r="59" spans="1:16" x14ac:dyDescent="0.25">
      <c r="A59" s="188" t="s">
        <v>167</v>
      </c>
      <c r="B59" s="184">
        <f>B29</f>
        <v>35992.618986804911</v>
      </c>
      <c r="C59" s="184">
        <f>C29</f>
        <v>55430.667802100579</v>
      </c>
      <c r="D59" s="189">
        <f>D29</f>
        <v>76999.019610105999</v>
      </c>
    </row>
    <row r="60" spans="1:16" ht="15" thickBot="1" x14ac:dyDescent="0.35">
      <c r="A60" s="190" t="s">
        <v>174</v>
      </c>
      <c r="B60" s="191">
        <f>B55</f>
        <v>0</v>
      </c>
      <c r="C60" s="191">
        <f t="shared" ref="C60:D60" si="18">C55</f>
        <v>0</v>
      </c>
      <c r="D60" s="192">
        <f t="shared" si="18"/>
        <v>0</v>
      </c>
    </row>
    <row r="61" spans="1:16" ht="15" thickTop="1" x14ac:dyDescent="0.25"/>
    <row r="63" spans="1:16" s="138" customFormat="1" x14ac:dyDescent="0.25">
      <c r="E63" s="76"/>
      <c r="F63" s="74"/>
      <c r="G63" s="75"/>
      <c r="H63" s="76"/>
      <c r="I63" s="76"/>
      <c r="K63" s="76"/>
      <c r="L63" s="76"/>
      <c r="M63" s="76"/>
      <c r="N63" s="76"/>
      <c r="O63" s="76"/>
      <c r="P63" s="76"/>
    </row>
    <row r="65" spans="11:16" x14ac:dyDescent="0.25">
      <c r="K65" s="138"/>
      <c r="L65" s="138"/>
      <c r="M65" s="138"/>
      <c r="N65" s="138"/>
      <c r="O65" s="138"/>
      <c r="P65" s="138"/>
    </row>
  </sheetData>
  <mergeCells count="16">
    <mergeCell ref="A1:E2"/>
    <mergeCell ref="L4:M4"/>
    <mergeCell ref="J20:J23"/>
    <mergeCell ref="J25:J26"/>
    <mergeCell ref="A4:D4"/>
    <mergeCell ref="A33:D33"/>
    <mergeCell ref="N4:P4"/>
    <mergeCell ref="J7:J10"/>
    <mergeCell ref="J11:J16"/>
    <mergeCell ref="J17:J19"/>
    <mergeCell ref="K31:M31"/>
    <mergeCell ref="J34:J37"/>
    <mergeCell ref="J38:J43"/>
    <mergeCell ref="J44:J46"/>
    <mergeCell ref="J47:J50"/>
    <mergeCell ref="J52:J53"/>
  </mergeCells>
  <phoneticPr fontId="2" type="noConversion"/>
  <pageMargins left="0.7" right="0.7" top="0.75" bottom="0.75" header="0.3" footer="0.3"/>
  <pageSetup paperSize="9" orientation="portrait" r:id="rId1"/>
  <ignoredErrors>
    <ignoredError sqref="C5:D5 B33:D33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97034"/>
  </sheetPr>
  <dimension ref="A1:E8"/>
  <sheetViews>
    <sheetView zoomScale="160" zoomScaleNormal="160" zoomScalePageLayoutView="175" workbookViewId="0">
      <pane ySplit="3" topLeftCell="A4" activePane="bottomLeft" state="frozen"/>
      <selection pane="bottomLeft" activeCell="B3" sqref="B3:D3"/>
    </sheetView>
  </sheetViews>
  <sheetFormatPr defaultColWidth="8.59765625" defaultRowHeight="13.8" x14ac:dyDescent="0.25"/>
  <cols>
    <col min="1" max="1" width="34" style="7" customWidth="1"/>
    <col min="2" max="2" width="15" style="7" bestFit="1" customWidth="1"/>
    <col min="3" max="5" width="11.3984375" style="7" customWidth="1"/>
    <col min="6" max="6" width="14.09765625" style="7" customWidth="1"/>
    <col min="7" max="7" width="8.59765625" style="7"/>
    <col min="8" max="8" width="12" style="7" customWidth="1"/>
    <col min="9" max="9" width="8.59765625" style="7"/>
    <col min="10" max="10" width="13.3984375" style="7" customWidth="1"/>
    <col min="11" max="16384" width="8.59765625" style="7"/>
  </cols>
  <sheetData>
    <row r="1" spans="1:5" ht="14.25" customHeight="1" x14ac:dyDescent="0.25">
      <c r="A1" s="274" t="s">
        <v>15</v>
      </c>
      <c r="B1" s="274"/>
      <c r="C1" s="274"/>
      <c r="D1" s="274"/>
      <c r="E1" s="274"/>
    </row>
    <row r="2" spans="1:5" ht="14.25" customHeight="1" x14ac:dyDescent="0.25">
      <c r="A2" s="274"/>
      <c r="B2" s="274"/>
      <c r="C2" s="274"/>
      <c r="D2" s="274"/>
      <c r="E2" s="274"/>
    </row>
    <row r="3" spans="1:5" ht="30.75" customHeight="1" x14ac:dyDescent="0.25">
      <c r="A3" s="12"/>
      <c r="B3" s="242" t="s">
        <v>1</v>
      </c>
      <c r="C3" s="5" t="s">
        <v>2</v>
      </c>
      <c r="D3" s="5" t="s">
        <v>3</v>
      </c>
      <c r="E3" s="5" t="s">
        <v>4</v>
      </c>
    </row>
    <row r="4" spans="1:5" ht="14.4" x14ac:dyDescent="0.25">
      <c r="A4" s="6" t="s">
        <v>175</v>
      </c>
      <c r="B4" s="44">
        <f>600*10</f>
        <v>6000</v>
      </c>
      <c r="C4" s="44">
        <f>600*12</f>
        <v>7200</v>
      </c>
      <c r="D4" s="43">
        <f t="shared" ref="D4" si="0">600*12</f>
        <v>7200</v>
      </c>
      <c r="E4" s="44">
        <f>650*12</f>
        <v>7800</v>
      </c>
    </row>
    <row r="5" spans="1:5" s="13" customFormat="1" ht="14.4" x14ac:dyDescent="0.25">
      <c r="A5" s="28" t="s">
        <v>176</v>
      </c>
      <c r="B5" s="27">
        <f>SUM(B4:B4)</f>
        <v>6000</v>
      </c>
      <c r="C5" s="27">
        <f>SUM(C4:C4)</f>
        <v>7200</v>
      </c>
      <c r="D5" s="26">
        <f>SUM(D4:D4)</f>
        <v>7200</v>
      </c>
      <c r="E5" s="27">
        <f>SUM(E4:E4)</f>
        <v>7800</v>
      </c>
    </row>
    <row r="8" spans="1:5" x14ac:dyDescent="0.25">
      <c r="A8" s="202" t="s">
        <v>177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97034"/>
  </sheetPr>
  <dimension ref="A1:G6"/>
  <sheetViews>
    <sheetView zoomScale="160" zoomScaleNormal="160" zoomScalePageLayoutView="190" workbookViewId="0">
      <pane ySplit="3" topLeftCell="A4" activePane="bottomLeft" state="frozen"/>
      <selection pane="bottomLeft" activeCell="B10" sqref="B10"/>
    </sheetView>
  </sheetViews>
  <sheetFormatPr defaultColWidth="8.59765625" defaultRowHeight="13.8" x14ac:dyDescent="0.25"/>
  <cols>
    <col min="1" max="1" width="33.19921875" style="7" bestFit="1" customWidth="1"/>
    <col min="2" max="2" width="10.59765625" style="7" customWidth="1"/>
    <col min="3" max="3" width="3.09765625" style="50" customWidth="1"/>
    <col min="4" max="4" width="10.59765625" style="7" customWidth="1"/>
    <col min="5" max="5" width="3.09765625" style="50" customWidth="1"/>
    <col min="6" max="6" width="10.59765625" style="7" customWidth="1"/>
    <col min="7" max="7" width="3.3984375" style="50" customWidth="1"/>
    <col min="8" max="8" width="8.59765625" style="7"/>
    <col min="9" max="9" width="12" style="7" customWidth="1"/>
    <col min="10" max="10" width="8.59765625" style="7"/>
    <col min="11" max="11" width="13.3984375" style="7" customWidth="1"/>
    <col min="12" max="16384" width="8.59765625" style="7"/>
  </cols>
  <sheetData>
    <row r="1" spans="1:7" ht="15" customHeight="1" x14ac:dyDescent="0.25">
      <c r="A1" s="274" t="s">
        <v>178</v>
      </c>
      <c r="B1" s="274"/>
      <c r="C1" s="274"/>
      <c r="D1" s="274"/>
      <c r="E1" s="274"/>
      <c r="F1" s="274"/>
      <c r="G1" s="274"/>
    </row>
    <row r="2" spans="1:7" ht="15" customHeight="1" x14ac:dyDescent="0.25">
      <c r="A2" s="274"/>
      <c r="B2" s="274"/>
      <c r="C2" s="274"/>
      <c r="D2" s="274"/>
      <c r="E2" s="274"/>
      <c r="F2" s="274"/>
      <c r="G2" s="274"/>
    </row>
    <row r="3" spans="1:7" ht="30" customHeight="1" x14ac:dyDescent="0.25">
      <c r="A3" s="12"/>
      <c r="B3" s="277" t="s">
        <v>2</v>
      </c>
      <c r="C3" s="277"/>
      <c r="D3" s="277" t="s">
        <v>3</v>
      </c>
      <c r="E3" s="277"/>
      <c r="F3" s="277" t="s">
        <v>4</v>
      </c>
      <c r="G3" s="277"/>
    </row>
    <row r="4" spans="1:7" ht="14.4" x14ac:dyDescent="0.25">
      <c r="A4" s="14" t="s">
        <v>179</v>
      </c>
      <c r="B4" s="1">
        <v>1200</v>
      </c>
      <c r="C4" s="39"/>
      <c r="D4" s="3">
        <v>1300</v>
      </c>
      <c r="E4" s="45"/>
      <c r="F4" s="1">
        <v>1300</v>
      </c>
      <c r="G4" s="39"/>
    </row>
    <row r="5" spans="1:7" ht="14.4" x14ac:dyDescent="0.25">
      <c r="A5" s="6" t="s">
        <v>227</v>
      </c>
      <c r="B5" s="47">
        <v>1</v>
      </c>
      <c r="C5" s="2">
        <v>1</v>
      </c>
      <c r="D5" s="46">
        <v>1</v>
      </c>
      <c r="E5" s="4">
        <v>1</v>
      </c>
      <c r="F5" s="47">
        <v>2</v>
      </c>
      <c r="G5" s="2">
        <v>1</v>
      </c>
    </row>
    <row r="6" spans="1:7" s="13" customFormat="1" ht="14.4" x14ac:dyDescent="0.25">
      <c r="A6" s="28" t="s">
        <v>180</v>
      </c>
      <c r="B6" s="27">
        <f>SUMPRODUCT(B5:B5,C5:C5)*B4</f>
        <v>1200</v>
      </c>
      <c r="C6" s="49"/>
      <c r="D6" s="26">
        <f>SUMPRODUCT(D5:D5,E5:E5)*D4</f>
        <v>1300</v>
      </c>
      <c r="E6" s="48"/>
      <c r="F6" s="27">
        <f>SUMPRODUCT(F5:F5,G5:G5)*F4</f>
        <v>2600</v>
      </c>
      <c r="G6" s="49"/>
    </row>
  </sheetData>
  <mergeCells count="4">
    <mergeCell ref="B3:C3"/>
    <mergeCell ref="D3:E3"/>
    <mergeCell ref="F3:G3"/>
    <mergeCell ref="A1:G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B6:F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a231a8-3fa7-4ca4-adfa-13c73cfb2ba8">
      <Terms xmlns="http://schemas.microsoft.com/office/infopath/2007/PartnerControls"/>
    </lcf76f155ced4ddcb4097134ff3c332f>
    <TaxCatchAll xmlns="73a1bf6f-b034-4059-bc7f-caa97a92b9e9" xsi:nil="true"/>
    <MediaLengthInSeconds xmlns="23a231a8-3fa7-4ca4-adfa-13c73cfb2b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BF218059C4C418E29FE488E53EE39" ma:contentTypeVersion="13" ma:contentTypeDescription="Create a new document." ma:contentTypeScope="" ma:versionID="71e4aee1e575719dce6989c16f2645b6">
  <xsd:schema xmlns:xsd="http://www.w3.org/2001/XMLSchema" xmlns:xs="http://www.w3.org/2001/XMLSchema" xmlns:p="http://schemas.microsoft.com/office/2006/metadata/properties" xmlns:ns2="23a231a8-3fa7-4ca4-adfa-13c73cfb2ba8" xmlns:ns3="73a1bf6f-b034-4059-bc7f-caa97a92b9e9" targetNamespace="http://schemas.microsoft.com/office/2006/metadata/properties" ma:root="true" ma:fieldsID="304fb84ba4a9dd9626093273379f3f90" ns2:_="" ns3:_="">
    <xsd:import namespace="23a231a8-3fa7-4ca4-adfa-13c73cfb2ba8"/>
    <xsd:import namespace="73a1bf6f-b034-4059-bc7f-caa97a92b9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231a8-3fa7-4ca4-adfa-13c73cfb2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1bf6f-b034-4059-bc7f-caa97a92b9e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a16ca43-9351-4ccd-9ba9-0db805ae4f40}" ma:internalName="TaxCatchAll" ma:showField="CatchAllData" ma:web="73a1bf6f-b034-4059-bc7f-caa97a92b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A51FCC-D170-4240-9785-4289BA70705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3a231a8-3fa7-4ca4-adfa-13c73cfb2ba8"/>
    <ds:schemaRef ds:uri="http://schemas.microsoft.com/office/infopath/2007/PartnerControls"/>
    <ds:schemaRef ds:uri="73a1bf6f-b034-4059-bc7f-caa97a92b9e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8F3B7F-B715-4D07-A539-AF010D8D8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231a8-3fa7-4ca4-adfa-13c73cfb2ba8"/>
    <ds:schemaRef ds:uri="73a1bf6f-b034-4059-bc7f-caa97a92b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7A22DA-58F5-4A38-90BB-14DDA4DAFCD9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78275</vt:lpwstr>
  </property>
  <property fmtid="{D5CDD505-2E9C-101B-9397-08002B2CF9AE}" pid="4" name="OptimizationTime">
    <vt:lpwstr>20230606_1749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3yr P&amp;L</vt:lpstr>
      <vt:lpstr>Κόστος Πωληθέντων (CoGS)</vt:lpstr>
      <vt:lpstr>Επισκέψεις, Παραγγελίες, Τζίρος</vt:lpstr>
      <vt:lpstr>Προσωπικό</vt:lpstr>
      <vt:lpstr>Εξ. Συνεργάτες</vt:lpstr>
      <vt:lpstr>Marketing</vt:lpstr>
      <vt:lpstr>Αποστολές</vt:lpstr>
      <vt:lpstr>Ενοίκιο</vt:lpstr>
      <vt:lpstr>Μετακινήσεις</vt:lpstr>
      <vt:lpstr>Λογαριασμοί</vt:lpstr>
      <vt:lpstr>Αποσβέσεις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Apostolis Tsolakidis</dc:creator>
  <cp:keywords/>
  <dc:description/>
  <cp:lastModifiedBy>Ioanna Kelepouri</cp:lastModifiedBy>
  <cp:revision/>
  <dcterms:created xsi:type="dcterms:W3CDTF">2015-02-06T11:17:35Z</dcterms:created>
  <dcterms:modified xsi:type="dcterms:W3CDTF">2023-06-06T14:40:51Z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0x010100DC7BF218059C4C418E29FE488E53EE39</vt:lpwstr>
  </property>
  <property fmtid="{D5CDD505-2E9C-101B-9397-08002B2CF9AE}" pid="3" name="Order">
    <vt:r8>7854000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